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styles.xml" ContentType="application/vnd.openxmlformats-officedocument.spreadsheetml.styl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9.xml.rels" ContentType="application/vnd.openxmlformats-package.relationships+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worksheets/_rels/sheet8.xml.rels" ContentType="application/vnd.openxmlformats-package.relationships+xml"/>
  <Override PartName="/xl/worksheets/_rels/sheet10.xml.rels" ContentType="application/vnd.openxmlformats-package.relationships+xml"/>
  <Override PartName="/xl/worksheets/_rels/sheet11.xml.rels" ContentType="application/vnd.openxmlformats-package.relationships+xml"/>
  <Override PartName="/xl/worksheets/_rels/sheet12.xml.rels" ContentType="application/vnd.openxmlformats-package.relationships+xml"/>
  <Override PartName="/xl/worksheets/_rels/sheet13.xml.rels" ContentType="application/vnd.openxmlformats-package.relationships+xml"/>
  <Override PartName="/xl/worksheets/_rels/sheet14.xml.rels" ContentType="application/vnd.openxmlformats-package.relationships+xml"/>
  <Override PartName="/xl/worksheets/_rels/sheet15.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omments15.xml" ContentType="application/vnd.openxmlformats-officedocument.spreadsheetml.comments+xml"/>
  <Override PartName="/xl/workbook.xml" ContentType="application/vnd.openxmlformats-officedocument.spreadsheetml.sheet.main+xml"/>
  <Override PartName="/xl/media/image2.png" ContentType="image/png"/>
  <Override PartName="/xl/media/image3.png" ContentType="image/png"/>
  <Override PartName="/xl/media/image4.png" ContentType="image/png"/>
  <Override PartName="/xl/media/image5.png" ContentType="image/png"/>
  <Override PartName="/xl/media/image10.png" ContentType="image/png"/>
  <Override PartName="/xl/media/image6.png" ContentType="image/png"/>
  <Override PartName="/xl/media/image7.png" ContentType="image/png"/>
  <Override PartName="/xl/media/image8.png" ContentType="image/png"/>
  <Override PartName="/xl/media/image9.png" ContentType="image/png"/>
  <Override PartName="/xl/media/image11.png" ContentType="image/png"/>
  <Override PartName="/xl/media/image12.png" ContentType="image/png"/>
  <Override PartName="/xl/media/image13.png" ContentType="image/png"/>
  <Override PartName="/xl/media/image14.png" ContentType="image/png"/>
  <Override PartName="/xl/media/image15.png" ContentType="image/png"/>
  <Override PartName="/xl/sharedStrings.xml" ContentType="application/vnd.openxmlformats-officedocument.spreadsheetml.sharedStrings+xml"/>
  <Override PartName="/xl/comments5.xml" ContentType="application/vnd.openxmlformats-officedocument.spreadsheetml.comments+xml"/>
  <Override PartName="/xl/comments13.xml" ContentType="application/vnd.openxmlformats-officedocument.spreadsheetml.comments+xml"/>
  <Override PartName="/xl/drawings/vmlDrawing1.vml" ContentType="application/vnd.openxmlformats-officedocument.vmlDrawing"/>
  <Override PartName="/xl/drawings/drawing1.xml" ContentType="application/vnd.openxmlformats-officedocument.drawing+xml"/>
  <Override PartName="/xl/drawings/drawing10.xml" ContentType="application/vnd.openxmlformats-officedocument.drawing+xml"/>
  <Override PartName="/xl/drawings/vmlDrawing2.vml" ContentType="application/vnd.openxmlformats-officedocument.vmlDrawing"/>
  <Override PartName="/xl/drawings/drawing2.xml" ContentType="application/vnd.openxmlformats-officedocument.drawing+xml"/>
  <Override PartName="/xl/drawings/drawing11.xml" ContentType="application/vnd.openxmlformats-officedocument.drawing+xml"/>
  <Override PartName="/xl/drawings/vmlDrawing3.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10.vml" ContentType="application/vnd.openxmlformats-officedocument.vmlDrawing"/>
  <Override PartName="/xl/drawings/drawing6.xml" ContentType="application/vnd.openxmlformats-officedocument.drawing+xml"/>
  <Override PartName="/xl/drawings/vmlDrawing11.vml" ContentType="application/vnd.openxmlformats-officedocument.vmlDrawing"/>
  <Override PartName="/xl/drawings/drawing7.xml" ContentType="application/vnd.openxmlformats-officedocument.drawing+xml"/>
  <Override PartName="/xl/drawings/drawing12.xml" ContentType="application/vnd.openxmlformats-officedocument.drawing+xml"/>
  <Override PartName="/xl/drawings/vmlDrawing4.vml" ContentType="application/vnd.openxmlformats-officedocument.vmlDrawing"/>
  <Override PartName="/xl/drawings/vmlDrawing12.vml" ContentType="application/vnd.openxmlformats-officedocument.vmlDrawing"/>
  <Override PartName="/xl/drawings/drawing8.xml" ContentType="application/vnd.openxmlformats-officedocument.drawing+xml"/>
  <Override PartName="/xl/drawings/drawing13.xml" ContentType="application/vnd.openxmlformats-officedocument.drawing+xml"/>
  <Override PartName="/xl/drawings/vmlDrawing5.vml" ContentType="application/vnd.openxmlformats-officedocument.vmlDrawing"/>
  <Override PartName="/xl/drawings/drawing9.xml" ContentType="application/vnd.openxmlformats-officedocument.drawing+xml"/>
  <Override PartName="/xl/drawings/drawing14.xml" ContentType="application/vnd.openxmlformats-officedocument.drawing+xml"/>
  <Override PartName="/xl/drawings/vmlDrawing6.vml" ContentType="application/vnd.openxmlformats-officedocument.vmlDrawing"/>
  <Override PartName="/xl/drawings/_rels/drawing9.xml.rels" ContentType="application/vnd.openxmlformats-package.relationships+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drawings/_rels/drawing4.xml.rels" ContentType="application/vnd.openxmlformats-package.relationships+xml"/>
  <Override PartName="/xl/drawings/_rels/drawing5.xml.rels" ContentType="application/vnd.openxmlformats-package.relationships+xml"/>
  <Override PartName="/xl/drawings/_rels/drawing6.xml.rels" ContentType="application/vnd.openxmlformats-package.relationships+xml"/>
  <Override PartName="/xl/drawings/_rels/drawing7.xml.rels" ContentType="application/vnd.openxmlformats-package.relationships+xml"/>
  <Override PartName="/xl/drawings/_rels/drawing8.xml.rels" ContentType="application/vnd.openxmlformats-package.relationships+xml"/>
  <Override PartName="/xl/drawings/_rels/drawing10.xml.rels" ContentType="application/vnd.openxmlformats-package.relationships+xml"/>
  <Override PartName="/xl/drawings/_rels/drawing11.xml.rels" ContentType="application/vnd.openxmlformats-package.relationships+xml"/>
  <Override PartName="/xl/drawings/_rels/drawing12.xml.rels" ContentType="application/vnd.openxmlformats-package.relationships+xml"/>
  <Override PartName="/xl/drawings/_rels/drawing13.xml.rels" ContentType="application/vnd.openxmlformats-package.relationships+xml"/>
  <Override PartName="/xl/drawings/_rels/drawing14.xml.rels" ContentType="application/vnd.openxmlformats-package.relationships+xml"/>
  <Override PartName="/xl/drawings/_rels/drawing15.xml.rels" ContentType="application/vnd.openxmlformats-package.relationships+xml"/>
  <Override PartName="/xl/drawings/drawing15.xml" ContentType="application/vnd.openxmlformats-officedocument.drawing+xml"/>
  <Override PartName="/xl/drawings/vmlDrawing7.vml" ContentType="application/vnd.openxmlformats-officedocument.vmlDrawing"/>
  <Override PartName="/xl/drawings/vmlDrawing8.vml" ContentType="application/vnd.openxmlformats-officedocument.vmlDrawing"/>
  <Override PartName="/xl/drawings/vmlDrawing9.vml" ContentType="application/vnd.openxmlformats-officedocument.vmlDrawing"/>
  <Override PartName="/xl/charts/chart11.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omments4.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4.xml" ContentType="application/vnd.openxmlformats-officedocument.spreadsheetml.comment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ad Me" sheetId="1" state="visible" r:id="rId2"/>
    <sheet name="Graph" sheetId="2" state="visible" r:id="rId3"/>
    <sheet name="Set up" sheetId="3" state="visible" r:id="rId4"/>
    <sheet name="Period1" sheetId="4" state="visible" r:id="rId5"/>
    <sheet name="Period2" sheetId="5" state="visible" r:id="rId6"/>
    <sheet name="Period3" sheetId="6" state="visible" r:id="rId7"/>
    <sheet name="Period4" sheetId="7" state="visible" r:id="rId8"/>
    <sheet name="Period5" sheetId="8" state="visible" r:id="rId9"/>
    <sheet name="Period6" sheetId="9" state="visible" r:id="rId10"/>
    <sheet name="Period7" sheetId="10" state="visible" r:id="rId11"/>
    <sheet name="Period8" sheetId="11" state="visible" r:id="rId12"/>
    <sheet name="Period9" sheetId="12" state="visible" r:id="rId13"/>
    <sheet name="Period10" sheetId="13" state="visible" r:id="rId14"/>
    <sheet name="Period11" sheetId="14" state="visible" r:id="rId15"/>
    <sheet name="Period12" sheetId="15" state="visible" r:id="rId16"/>
  </sheets>
  <calcPr iterateCount="100" refMode="A1" iterate="false" iterateDelta="0.001"/>
  <extLst>
    <ext xmlns:loext="http://schemas.libreoffice.org/" uri="{7626C862-2A13-11E5-B345-FEFF819CDC9F}">
      <loext:extCalcPr stringRefSyntax="CalcA1ExcelA1"/>
    </ext>
  </extLst>
</workbook>
</file>

<file path=xl/comments10.xml><?xml version="1.0" encoding="utf-8"?>
<comments xmlns="http://schemas.openxmlformats.org/spreadsheetml/2006/main" xmlns:xdr="http://schemas.openxmlformats.org/drawingml/2006/spreadsheetDrawing">
  <authors>
    <author/>
  </authors>
  <commentList>
    <comment ref="D8" authorId="0">
      <text>
        <r>
          <rPr>
            <sz val="10"/>
            <rFont val="MS Sans Serif"/>
            <family val="2"/>
          </rPr>
          <t xml:space="preserve">These cells will show/remind you how much area was in crop/hay etc the previous period</t>
        </r>
      </text>
    </comment>
    <comment ref="F16" authorId="0">
      <text>
        <r>
          <rPr>
            <sz val="10"/>
            <rFont val="MS Sans Serif"/>
            <family val="2"/>
          </rPr>
          <t xml:space="preserve">The figures in this column are the sum total individual daily feed intakes for each class of stock. They are the sum of both pasture and feed supplements as entered in columns to the right.</t>
        </r>
      </text>
    </comment>
    <comment ref="F46" authorId="0">
      <text>
        <r>
          <rPr>
            <sz val="10"/>
            <rFont val="MS Sans Serif"/>
            <family val="2"/>
          </rPr>
          <t xml:space="preserve">Try to get this figure to  match Target Av Farm cover as close as possible  by adjusting feeding rates, stock numbers, supplements fed etc.</t>
        </r>
      </text>
    </comment>
    <comment ref="F47" authorId="0">
      <text>
        <r>
          <rPr>
            <sz val="10"/>
            <rFont val="MS Sans Serif"/>
            <family val="2"/>
          </rPr>
          <t xml:space="preserve">Consider the Target Av Farm Cover as a bench mark to work towards</t>
        </r>
      </text>
    </comment>
    <comment ref="G16" authorId="0">
      <text>
        <r>
          <rPr>
            <sz val="10"/>
            <rFont val="MS Sans Serif"/>
            <family val="2"/>
          </rPr>
          <t xml:space="preserve">Enter kg DM intake for each feed type in cells below each feed description. Figures directly to the right of each column you enter data are to remind you what you fed daily the previous period</t>
        </r>
      </text>
    </comment>
    <comment ref="G49" authorId="0">
      <text>
        <r>
          <rPr>
            <sz val="10"/>
            <rFont val="MS Sans Serif"/>
            <family val="2"/>
          </rPr>
          <t xml:space="preserve">This figure can help you decide if you need to feed more supplements or take area out for hay / silage etc
</t>
        </r>
      </text>
    </comment>
    <comment ref="H16" authorId="0">
      <text>
        <r>
          <rPr>
            <sz val="10"/>
            <rFont val="MS Sans Serif"/>
            <family val="2"/>
          </rPr>
          <t xml:space="preserve">These cells below will show/remind you how much  was fed daily in the previous period</t>
        </r>
      </text>
    </comment>
    <comment ref="M1" authorId="0">
      <text>
        <r>
          <rPr>
            <sz val="10"/>
            <rFont val="MS Sans Serif"/>
            <family val="2"/>
          </rPr>
          <t xml:space="preserve">Look for red mark in corner of cell
Hover mouse over to read comments</t>
        </r>
      </text>
    </comment>
  </commentList>
</comments>
</file>

<file path=xl/comments11.xml><?xml version="1.0" encoding="utf-8"?>
<comments xmlns="http://schemas.openxmlformats.org/spreadsheetml/2006/main" xmlns:xdr="http://schemas.openxmlformats.org/drawingml/2006/spreadsheetDrawing">
  <authors>
    <author/>
  </authors>
  <commentList>
    <comment ref="D8" authorId="0">
      <text>
        <r>
          <rPr>
            <sz val="10"/>
            <rFont val="MS Sans Serif"/>
            <family val="2"/>
          </rPr>
          <t xml:space="preserve">These cells will show/remind you how much area was in crop/hay etc the previous period</t>
        </r>
      </text>
    </comment>
    <comment ref="F16" authorId="0">
      <text>
        <r>
          <rPr>
            <sz val="10"/>
            <rFont val="MS Sans Serif"/>
            <family val="2"/>
          </rPr>
          <t xml:space="preserve">The figures in this column are the sum total individual daily feed intakes for each class of stock. They are the sum of both pasture and feed supplements as entered in columns to the right.</t>
        </r>
      </text>
    </comment>
    <comment ref="F46" authorId="0">
      <text>
        <r>
          <rPr>
            <sz val="10"/>
            <rFont val="MS Sans Serif"/>
            <family val="2"/>
          </rPr>
          <t xml:space="preserve">Try to get this figure to  match Target Av Farm cover as close as possible  by adjusting feeding rates, stock numbers, supplements fed etc.</t>
        </r>
      </text>
    </comment>
    <comment ref="F47" authorId="0">
      <text>
        <r>
          <rPr>
            <sz val="10"/>
            <rFont val="MS Sans Serif"/>
            <family val="2"/>
          </rPr>
          <t xml:space="preserve">Consider the Target Av Farm Cover as a bench mark to work towards</t>
        </r>
      </text>
    </comment>
    <comment ref="G16" authorId="0">
      <text>
        <r>
          <rPr>
            <sz val="10"/>
            <rFont val="MS Sans Serif"/>
            <family val="2"/>
          </rPr>
          <t xml:space="preserve">Enter kg DM intake for each feed type in cells below each feed description. Figures directly to the right of each column you enter data are to remind you what you fed daily the previous period</t>
        </r>
      </text>
    </comment>
    <comment ref="G49" authorId="0">
      <text>
        <r>
          <rPr>
            <sz val="10"/>
            <rFont val="MS Sans Serif"/>
            <family val="2"/>
          </rPr>
          <t xml:space="preserve">This figure can help you decide if you need to feed more supplements or take area out for hay / silage etc
</t>
        </r>
      </text>
    </comment>
    <comment ref="H16" authorId="0">
      <text>
        <r>
          <rPr>
            <sz val="10"/>
            <rFont val="MS Sans Serif"/>
            <family val="2"/>
          </rPr>
          <t xml:space="preserve">These cells below will show/remind you how much  was fed daily in the previous period</t>
        </r>
      </text>
    </comment>
    <comment ref="M1" authorId="0">
      <text>
        <r>
          <rPr>
            <sz val="10"/>
            <rFont val="MS Sans Serif"/>
            <family val="2"/>
          </rPr>
          <t xml:space="preserve">Look for red mark in corner of cell
Hover mouse over to read comments</t>
        </r>
      </text>
    </comment>
  </commentList>
</comments>
</file>

<file path=xl/comments12.xml><?xml version="1.0" encoding="utf-8"?>
<comments xmlns="http://schemas.openxmlformats.org/spreadsheetml/2006/main" xmlns:xdr="http://schemas.openxmlformats.org/drawingml/2006/spreadsheetDrawing">
  <authors>
    <author/>
  </authors>
  <commentList>
    <comment ref="D8" authorId="0">
      <text>
        <r>
          <rPr>
            <sz val="10"/>
            <rFont val="MS Sans Serif"/>
            <family val="2"/>
          </rPr>
          <t xml:space="preserve">These cells will show/remind you how much area was in crop/hay etc the previous period</t>
        </r>
      </text>
    </comment>
    <comment ref="F16" authorId="0">
      <text>
        <r>
          <rPr>
            <sz val="10"/>
            <rFont val="MS Sans Serif"/>
            <family val="2"/>
          </rPr>
          <t xml:space="preserve">The figures in this column are the sum total individual daily feed intakes for each class of stock. They are the sum of both pasture and feed supplements as entered in columns to the right.</t>
        </r>
      </text>
    </comment>
    <comment ref="F46" authorId="0">
      <text>
        <r>
          <rPr>
            <sz val="10"/>
            <rFont val="MS Sans Serif"/>
            <family val="2"/>
          </rPr>
          <t xml:space="preserve">Try to get this figure to  match Target Av Farm cover as close as possible  by adjusting feeding rates, stock numbers, supplements fed etc.</t>
        </r>
      </text>
    </comment>
    <comment ref="F47" authorId="0">
      <text>
        <r>
          <rPr>
            <sz val="10"/>
            <rFont val="MS Sans Serif"/>
            <family val="2"/>
          </rPr>
          <t xml:space="preserve">Consider the Target Av Farm Cover as a bench mark to work towards</t>
        </r>
      </text>
    </comment>
    <comment ref="G16" authorId="0">
      <text>
        <r>
          <rPr>
            <sz val="10"/>
            <rFont val="MS Sans Serif"/>
            <family val="2"/>
          </rPr>
          <t xml:space="preserve">Enter kg DM intake for each feed type in cells below each feed description. Figures directly to the right of each column you enter data are to remind you what you fed daily the previous period</t>
        </r>
      </text>
    </comment>
    <comment ref="G49" authorId="0">
      <text>
        <r>
          <rPr>
            <sz val="10"/>
            <rFont val="MS Sans Serif"/>
            <family val="2"/>
          </rPr>
          <t xml:space="preserve">This figure can help you decide if you need to feed more supplements or take area out for hay / silage etc
</t>
        </r>
      </text>
    </comment>
    <comment ref="H16" authorId="0">
      <text>
        <r>
          <rPr>
            <sz val="10"/>
            <rFont val="MS Sans Serif"/>
            <family val="2"/>
          </rPr>
          <t xml:space="preserve">These cells below will show/remind you how much  was fed daily in the previous period</t>
        </r>
      </text>
    </comment>
    <comment ref="M1" authorId="0">
      <text>
        <r>
          <rPr>
            <sz val="10"/>
            <rFont val="MS Sans Serif"/>
            <family val="2"/>
          </rPr>
          <t xml:space="preserve">Look for red mark in corner of cell
Hover mouse over to read comments</t>
        </r>
      </text>
    </comment>
  </commentList>
</comments>
</file>

<file path=xl/comments13.xml><?xml version="1.0" encoding="utf-8"?>
<comments xmlns="http://schemas.openxmlformats.org/spreadsheetml/2006/main" xmlns:xdr="http://schemas.openxmlformats.org/drawingml/2006/spreadsheetDrawing">
  <authors>
    <author/>
  </authors>
  <commentList>
    <comment ref="D8" authorId="0">
      <text>
        <r>
          <rPr>
            <sz val="10"/>
            <rFont val="MS Sans Serif"/>
            <family val="2"/>
          </rPr>
          <t xml:space="preserve">These cells will show/remind you how much area was in crop/hay etc the previous period</t>
        </r>
      </text>
    </comment>
    <comment ref="F16" authorId="0">
      <text>
        <r>
          <rPr>
            <sz val="10"/>
            <rFont val="MS Sans Serif"/>
            <family val="2"/>
          </rPr>
          <t xml:space="preserve">The figures in this column are the sum total individual daily feed intakes for each class of stock. They are the sum of both pasture and feed supplements as entered in columns to the right.</t>
        </r>
      </text>
    </comment>
    <comment ref="F46" authorId="0">
      <text>
        <r>
          <rPr>
            <sz val="10"/>
            <rFont val="MS Sans Serif"/>
            <family val="2"/>
          </rPr>
          <t xml:space="preserve">Try to get this figure to  match Target Av Farm cover as close as possible  by adjusting feeding rates, stock numbers, supplements fed etc.</t>
        </r>
      </text>
    </comment>
    <comment ref="F47" authorId="0">
      <text>
        <r>
          <rPr>
            <sz val="10"/>
            <rFont val="MS Sans Serif"/>
            <family val="2"/>
          </rPr>
          <t xml:space="preserve">Consider the Target Av Farm Cover as a bench mark to work towards</t>
        </r>
      </text>
    </comment>
    <comment ref="G16" authorId="0">
      <text>
        <r>
          <rPr>
            <sz val="10"/>
            <rFont val="MS Sans Serif"/>
            <family val="2"/>
          </rPr>
          <t xml:space="preserve">Enter kg DM intake for each feed type in cells below each feed description. Figures directly to the right of each column you enter data are to remind you what you fed daily the previous period</t>
        </r>
      </text>
    </comment>
    <comment ref="G49" authorId="0">
      <text>
        <r>
          <rPr>
            <sz val="10"/>
            <rFont val="MS Sans Serif"/>
            <family val="2"/>
          </rPr>
          <t xml:space="preserve">This figure can help you decide if you need to feed more supplements or take area out for hay / silage etc
</t>
        </r>
      </text>
    </comment>
    <comment ref="H16" authorId="0">
      <text>
        <r>
          <rPr>
            <sz val="10"/>
            <rFont val="MS Sans Serif"/>
            <family val="2"/>
          </rPr>
          <t xml:space="preserve">These cells below will show/remind you how much  was fed daily in the previous period</t>
        </r>
      </text>
    </comment>
    <comment ref="M1" authorId="0">
      <text>
        <r>
          <rPr>
            <sz val="10"/>
            <rFont val="MS Sans Serif"/>
            <family val="2"/>
          </rPr>
          <t xml:space="preserve">Look for red mark in corner of cell
Hover mouse over to read comments</t>
        </r>
      </text>
    </comment>
  </commentList>
</comments>
</file>

<file path=xl/comments14.xml><?xml version="1.0" encoding="utf-8"?>
<comments xmlns="http://schemas.openxmlformats.org/spreadsheetml/2006/main" xmlns:xdr="http://schemas.openxmlformats.org/drawingml/2006/spreadsheetDrawing">
  <authors>
    <author/>
  </authors>
  <commentList>
    <comment ref="D8" authorId="0">
      <text>
        <r>
          <rPr>
            <sz val="10"/>
            <rFont val="MS Sans Serif"/>
            <family val="2"/>
          </rPr>
          <t xml:space="preserve">These cells will show/remind you how much area was in crop/hay etc the previous period</t>
        </r>
      </text>
    </comment>
    <comment ref="F16" authorId="0">
      <text>
        <r>
          <rPr>
            <sz val="10"/>
            <rFont val="MS Sans Serif"/>
            <family val="2"/>
          </rPr>
          <t xml:space="preserve">The figures in this column are the sum total individual daily feed intakes for each class of stock. They are the sum of both pasture and feed supplements as entered in columns to the right.</t>
        </r>
      </text>
    </comment>
    <comment ref="F46" authorId="0">
      <text>
        <r>
          <rPr>
            <sz val="10"/>
            <rFont val="MS Sans Serif"/>
            <family val="2"/>
          </rPr>
          <t xml:space="preserve">Try to get this figure to  match Target Av Farm cover as close as possible  by adjusting feeding rates, stock numbers, supplements fed etc.</t>
        </r>
      </text>
    </comment>
    <comment ref="F47" authorId="0">
      <text>
        <r>
          <rPr>
            <sz val="10"/>
            <rFont val="MS Sans Serif"/>
            <family val="2"/>
          </rPr>
          <t xml:space="preserve">Consider the Target Av Farm Cover as a bench mark to work towards</t>
        </r>
      </text>
    </comment>
    <comment ref="G16" authorId="0">
      <text>
        <r>
          <rPr>
            <sz val="10"/>
            <rFont val="MS Sans Serif"/>
            <family val="2"/>
          </rPr>
          <t xml:space="preserve">Enter kg DM intake for each feed type in cells below each feed description. Figures directly to the right of each column you enter data are to remind you what you fed daily the previous period</t>
        </r>
      </text>
    </comment>
    <comment ref="G49" authorId="0">
      <text>
        <r>
          <rPr>
            <sz val="10"/>
            <rFont val="MS Sans Serif"/>
            <family val="2"/>
          </rPr>
          <t xml:space="preserve">This figure can help you decide if you need to feed more supplements or take area out for hay / silage etc
</t>
        </r>
      </text>
    </comment>
    <comment ref="H16" authorId="0">
      <text>
        <r>
          <rPr>
            <sz val="10"/>
            <rFont val="MS Sans Serif"/>
            <family val="2"/>
          </rPr>
          <t xml:space="preserve">These cells below will show/remind you how much  was fed daily in the previous period</t>
        </r>
      </text>
    </comment>
    <comment ref="M1" authorId="0">
      <text>
        <r>
          <rPr>
            <sz val="10"/>
            <rFont val="MS Sans Serif"/>
            <family val="2"/>
          </rPr>
          <t xml:space="preserve">Look for red mark in corner of cell
Hover mouse over to read comments</t>
        </r>
      </text>
    </comment>
  </commentList>
</comments>
</file>

<file path=xl/comments15.xml><?xml version="1.0" encoding="utf-8"?>
<comments xmlns="http://schemas.openxmlformats.org/spreadsheetml/2006/main" xmlns:xdr="http://schemas.openxmlformats.org/drawingml/2006/spreadsheetDrawing">
  <authors>
    <author/>
  </authors>
  <commentList>
    <comment ref="D8" authorId="0">
      <text>
        <r>
          <rPr>
            <sz val="10"/>
            <rFont val="MS Sans Serif"/>
            <family val="2"/>
          </rPr>
          <t xml:space="preserve">These cells will show/remind you how much area was in crop/hay etc the previous period</t>
        </r>
      </text>
    </comment>
    <comment ref="F16" authorId="0">
      <text>
        <r>
          <rPr>
            <sz val="10"/>
            <rFont val="MS Sans Serif"/>
            <family val="2"/>
          </rPr>
          <t xml:space="preserve">The figures in this column are the sum total individual daily feed intakes for each class of stock. They are the sum of both pasture and feed supplements as entered in columns to the right.</t>
        </r>
      </text>
    </comment>
    <comment ref="F46" authorId="0">
      <text>
        <r>
          <rPr>
            <sz val="10"/>
            <rFont val="MS Sans Serif"/>
            <family val="2"/>
          </rPr>
          <t xml:space="preserve">Try to get this figure to  match Target Av Farm cover as close as possible  by adjusting feeding rates, stock numbers, supplements fed etc.</t>
        </r>
      </text>
    </comment>
    <comment ref="F47" authorId="0">
      <text>
        <r>
          <rPr>
            <sz val="10"/>
            <rFont val="MS Sans Serif"/>
            <family val="2"/>
          </rPr>
          <t xml:space="preserve">Consider the Target Av Farm Cover as a bench mark to work towards</t>
        </r>
      </text>
    </comment>
    <comment ref="G16" authorId="0">
      <text>
        <r>
          <rPr>
            <sz val="10"/>
            <rFont val="MS Sans Serif"/>
            <family val="2"/>
          </rPr>
          <t xml:space="preserve">Enter kg DM intake for each feed type in cells below each feed description. Figures directly to the right of each column you enter data are to remind you what you fed daily the previous period</t>
        </r>
      </text>
    </comment>
    <comment ref="G49" authorId="0">
      <text>
        <r>
          <rPr>
            <sz val="10"/>
            <rFont val="MS Sans Serif"/>
            <family val="2"/>
          </rPr>
          <t xml:space="preserve">This figure can help you decide if you need to feed more supplements or take area out for hay / silage etc
</t>
        </r>
      </text>
    </comment>
    <comment ref="H16" authorId="0">
      <text>
        <r>
          <rPr>
            <sz val="10"/>
            <rFont val="MS Sans Serif"/>
            <family val="2"/>
          </rPr>
          <t xml:space="preserve">These cells below will show/remind you how much  was fed daily in the previous period</t>
        </r>
      </text>
    </comment>
    <comment ref="M1" authorId="0">
      <text>
        <r>
          <rPr>
            <sz val="10"/>
            <rFont val="MS Sans Serif"/>
            <family val="2"/>
          </rPr>
          <t xml:space="preserve">Look for red mark in corner of cell
Hover mouse over to read comments</t>
        </r>
      </text>
    </comment>
  </commentList>
</comments>
</file>

<file path=xl/comments4.xml><?xml version="1.0" encoding="utf-8"?>
<comments xmlns="http://schemas.openxmlformats.org/spreadsheetml/2006/main" xmlns:xdr="http://schemas.openxmlformats.org/drawingml/2006/spreadsheetDrawing">
  <authors>
    <author/>
  </authors>
  <commentList>
    <comment ref="D8" authorId="0">
      <text>
        <r>
          <rPr>
            <sz val="10"/>
            <rFont val="MS Sans Serif"/>
            <family val="2"/>
          </rPr>
          <t xml:space="preserve">These cells will show/remind you how much area was in crop/hay etc the previous period</t>
        </r>
      </text>
    </comment>
    <comment ref="F16" authorId="0">
      <text>
        <r>
          <rPr>
            <sz val="10"/>
            <rFont val="MS Sans Serif"/>
            <family val="2"/>
          </rPr>
          <t xml:space="preserve">The figures in this column are the sum total individual daily feed intakes for each class of stock. They are the sum of both pasture and feed supplements as entered in columns to the right.</t>
        </r>
      </text>
    </comment>
    <comment ref="F46" authorId="0">
      <text>
        <r>
          <rPr>
            <sz val="10"/>
            <rFont val="MS Sans Serif"/>
            <family val="2"/>
          </rPr>
          <t xml:space="preserve">Try to get this figure to  match Target Av Farm cover as close as possible  by adjusting feeding rates, stock numbers, supplements fed etc.</t>
        </r>
      </text>
    </comment>
    <comment ref="F47" authorId="0">
      <text>
        <r>
          <rPr>
            <sz val="10"/>
            <rFont val="MS Sans Serif"/>
            <family val="2"/>
          </rPr>
          <t xml:space="preserve">Consider the Target Av Farm Cover as a bench mark to work towards</t>
        </r>
      </text>
    </comment>
    <comment ref="G16" authorId="0">
      <text>
        <r>
          <rPr>
            <sz val="10"/>
            <rFont val="MS Sans Serif"/>
            <family val="2"/>
          </rPr>
          <t xml:space="preserve">Enter kg DM intake for each feed type in cells below each feed description. Figures directly to the right of each column you enter data are to remind you what you fed daily the previous period</t>
        </r>
      </text>
    </comment>
    <comment ref="G49" authorId="0">
      <text>
        <r>
          <rPr>
            <sz val="10"/>
            <rFont val="MS Sans Serif"/>
            <family val="2"/>
          </rPr>
          <t xml:space="preserve">This figure can help you decide if you need to feed more supplements or take area out for hay / silage etc
</t>
        </r>
      </text>
    </comment>
    <comment ref="H16" authorId="0">
      <text>
        <r>
          <rPr>
            <sz val="10"/>
            <rFont val="MS Sans Serif"/>
            <family val="2"/>
          </rPr>
          <t xml:space="preserve">These cells below will show/remind you how much  was fed daily in the previous period</t>
        </r>
      </text>
    </comment>
    <comment ref="M1" authorId="0">
      <text>
        <r>
          <rPr>
            <sz val="10"/>
            <rFont val="MS Sans Serif"/>
            <family val="2"/>
          </rPr>
          <t xml:space="preserve">Look for red mark in corner of cell
Hover mouse over to read comments</t>
        </r>
      </text>
    </comment>
  </commentList>
</comments>
</file>

<file path=xl/comments5.xml><?xml version="1.0" encoding="utf-8"?>
<comments xmlns="http://schemas.openxmlformats.org/spreadsheetml/2006/main" xmlns:xdr="http://schemas.openxmlformats.org/drawingml/2006/spreadsheetDrawing">
  <authors>
    <author/>
  </authors>
  <commentList>
    <comment ref="M1" authorId="0">
      <text>
        <r>
          <rPr>
            <sz val="10"/>
            <rFont val="MS Sans Serif"/>
            <family val="2"/>
          </rPr>
          <t xml:space="preserve">Look for red mark in corner of cell
Hover mouse over to read comments</t>
        </r>
      </text>
    </comment>
  </commentList>
</comments>
</file>

<file path=xl/comments6.xml><?xml version="1.0" encoding="utf-8"?>
<comments xmlns="http://schemas.openxmlformats.org/spreadsheetml/2006/main" xmlns:xdr="http://schemas.openxmlformats.org/drawingml/2006/spreadsheetDrawing">
  <authors>
    <author/>
  </authors>
  <commentList>
    <comment ref="G46" authorId="0">
      <text>
        <r>
          <rPr>
            <sz val="10"/>
            <rFont val="MS Sans Serif"/>
            <family val="2"/>
          </rPr>
          <t xml:space="preserve">Try to get this figure to  match Target Av Farm cover as close as possible  by adjusting feeding rates, stock numbers, supplements fed etc.</t>
        </r>
      </text>
    </comment>
    <comment ref="M1" authorId="0">
      <text>
        <r>
          <rPr>
            <sz val="10"/>
            <rFont val="MS Sans Serif"/>
            <family val="2"/>
          </rPr>
          <t xml:space="preserve">Look for red mark in corner of cell
Hover mouse over to read comments</t>
        </r>
      </text>
    </comment>
  </commentList>
</comments>
</file>

<file path=xl/comments7.xml><?xml version="1.0" encoding="utf-8"?>
<comments xmlns="http://schemas.openxmlformats.org/spreadsheetml/2006/main" xmlns:xdr="http://schemas.openxmlformats.org/drawingml/2006/spreadsheetDrawing">
  <authors>
    <author/>
  </authors>
  <commentList>
    <comment ref="G46" authorId="0">
      <text>
        <r>
          <rPr>
            <sz val="10"/>
            <rFont val="MS Sans Serif"/>
            <family val="2"/>
          </rPr>
          <t xml:space="preserve">Try to get this figure to  match Target Av Farm cover as close as possible  by adjusting feeding rates, stock numbers, supplements fed etc.</t>
        </r>
      </text>
    </comment>
    <comment ref="M1" authorId="0">
      <text>
        <r>
          <rPr>
            <sz val="10"/>
            <rFont val="MS Sans Serif"/>
            <family val="2"/>
          </rPr>
          <t xml:space="preserve">Look for red mark in corner of cell
Hover mouse over to read comments</t>
        </r>
      </text>
    </comment>
  </commentList>
</comments>
</file>

<file path=xl/comments8.xml><?xml version="1.0" encoding="utf-8"?>
<comments xmlns="http://schemas.openxmlformats.org/spreadsheetml/2006/main" xmlns:xdr="http://schemas.openxmlformats.org/drawingml/2006/spreadsheetDrawing">
  <authors>
    <author/>
  </authors>
  <commentList>
    <comment ref="G46" authorId="0">
      <text>
        <r>
          <rPr>
            <sz val="10"/>
            <rFont val="MS Sans Serif"/>
            <family val="2"/>
          </rPr>
          <t xml:space="preserve">Try to get this figure to  match Target Av Farm cover as close as possible  by adjusting feeding rates, stock numbers, supplements fed etc.</t>
        </r>
      </text>
    </comment>
    <comment ref="M1" authorId="0">
      <text>
        <r>
          <rPr>
            <sz val="10"/>
            <rFont val="MS Sans Serif"/>
            <family val="2"/>
          </rPr>
          <t xml:space="preserve">Look for red mark in corner of cell
Hover mouse over to read comments</t>
        </r>
      </text>
    </comment>
  </commentList>
</comments>
</file>

<file path=xl/comments9.xml><?xml version="1.0" encoding="utf-8"?>
<comments xmlns="http://schemas.openxmlformats.org/spreadsheetml/2006/main" xmlns:xdr="http://schemas.openxmlformats.org/drawingml/2006/spreadsheetDrawing">
  <authors>
    <author/>
  </authors>
  <commentList>
    <comment ref="D8" authorId="0">
      <text>
        <r>
          <rPr>
            <sz val="10"/>
            <rFont val="MS Sans Serif"/>
            <family val="2"/>
          </rPr>
          <t xml:space="preserve">These cells will show/remind you how much area was in crop/hay etc the previous period</t>
        </r>
      </text>
    </comment>
    <comment ref="F16" authorId="0">
      <text>
        <r>
          <rPr>
            <sz val="10"/>
            <rFont val="MS Sans Serif"/>
            <family val="2"/>
          </rPr>
          <t xml:space="preserve">The figures in this column are the sum total individual daily feed intakes for each class of stock. They are the sum of both pasture and feed supplements as entered in columns to the right.</t>
        </r>
      </text>
    </comment>
    <comment ref="F46" authorId="0">
      <text>
        <r>
          <rPr>
            <sz val="10"/>
            <rFont val="MS Sans Serif"/>
            <family val="2"/>
          </rPr>
          <t xml:space="preserve">Try to get this figure to  match Target Av Farm cover as close as possible  by adjusting feeding rates, stock numbers, supplements fed etc.</t>
        </r>
      </text>
    </comment>
    <comment ref="F47" authorId="0">
      <text>
        <r>
          <rPr>
            <sz val="10"/>
            <rFont val="MS Sans Serif"/>
            <family val="2"/>
          </rPr>
          <t xml:space="preserve">Consider the Target Av Farm Cover as a bench mark to work towards</t>
        </r>
      </text>
    </comment>
    <comment ref="G16" authorId="0">
      <text>
        <r>
          <rPr>
            <sz val="10"/>
            <rFont val="MS Sans Serif"/>
            <family val="2"/>
          </rPr>
          <t xml:space="preserve">Enter kg DM intake for each feed type in cells below each feed description. Figures directly to the right of each column you enter data are to remind you what you fed daily the previous period</t>
        </r>
      </text>
    </comment>
    <comment ref="G49" authorId="0">
      <text>
        <r>
          <rPr>
            <sz val="10"/>
            <rFont val="MS Sans Serif"/>
            <family val="2"/>
          </rPr>
          <t xml:space="preserve">This figure can help you decide if you need to feed more supplements or take area out for hay / silage etc
</t>
        </r>
      </text>
    </comment>
    <comment ref="H16" authorId="0">
      <text>
        <r>
          <rPr>
            <sz val="10"/>
            <rFont val="MS Sans Serif"/>
            <family val="2"/>
          </rPr>
          <t xml:space="preserve">These cells below will show/remind you how much  was fed daily in the previous period</t>
        </r>
      </text>
    </comment>
    <comment ref="M1" authorId="0">
      <text>
        <r>
          <rPr>
            <sz val="10"/>
            <rFont val="MS Sans Serif"/>
            <family val="2"/>
          </rPr>
          <t xml:space="preserve">Look for red mark in corner of cell
Hover mouse over to read comments</t>
        </r>
      </text>
    </comment>
  </commentList>
</comments>
</file>

<file path=xl/sharedStrings.xml><?xml version="1.0" encoding="utf-8"?>
<sst xmlns="http://schemas.openxmlformats.org/spreadsheetml/2006/main" count="1160" uniqueCount="203">
  <si>
    <t xml:space="preserve">Version1806</t>
  </si>
  <si>
    <t xml:space="preserve">Please read all of this</t>
  </si>
  <si>
    <t xml:space="preserve">Dairy Demo – do not use</t>
  </si>
  <si>
    <t xml:space="preserve">This spreadsheet accompanies the book Pasture Feed Budgeting - A complete guide to pasture feed budgeting for managers of pasture and grazing animals. </t>
  </si>
  <si>
    <t xml:space="preserve">This book can be purchased from www.grazetech.com.au  </t>
  </si>
  <si>
    <t xml:space="preserve">This spreadsheet is designed to work on Microsoft Excel 2003 or newer. It will also work in LibreOffice Calc, OpenOffice Calc and FreeOffice – of which these last three can be downloaded from the internet for free.</t>
  </si>
  <si>
    <t xml:space="preserve">Make a back up of this spreadsheet and store in a safe place.</t>
  </si>
  <si>
    <t xml:space="preserve">Save this spreadsheet under a different name (eg File &gt;&gt;Save As) before entering data for your own farm situation.</t>
  </si>
  <si>
    <t xml:space="preserve">Please pass any comments about these spreadsheets to info@grazetech.com.au</t>
  </si>
  <si>
    <t xml:space="preserve">This spreadsheet workbook is intended for pasture based forecast feed budgets. Hay, silage, crops and meal are considered as supplements.</t>
  </si>
  <si>
    <t xml:space="preserve">Pasture and feed supplements are all expressed in kilograms dry matter (kg DM). There is no facility to enter energy values. </t>
  </si>
  <si>
    <t xml:space="preserve">This has been to keep things simple</t>
  </si>
  <si>
    <t xml:space="preserve">Differences in feed energy values can be accommodated by increasing or decreasing the amounts of kg DM presented for consumption or through altering feed utilisation factors</t>
  </si>
  <si>
    <t xml:space="preserve">Objective (logic) behind  forecast feed budgeting</t>
  </si>
  <si>
    <r>
      <rPr>
        <sz val="12"/>
        <rFont val="Arial"/>
        <family val="2"/>
      </rPr>
      <t xml:space="preserve">The </t>
    </r>
    <r>
      <rPr>
        <b val="true"/>
        <sz val="12"/>
        <rFont val="Arial"/>
        <family val="2"/>
      </rPr>
      <t xml:space="preserve">target average farm covers </t>
    </r>
    <r>
      <rPr>
        <sz val="12"/>
        <rFont val="Arial"/>
        <family val="2"/>
      </rPr>
      <t xml:space="preserve">should be considered as farming benchmarks to aim for.  </t>
    </r>
  </si>
  <si>
    <t xml:space="preserve">When a farm is correctly stocked and animals correctly fed, target average farm covers should be attainable.</t>
  </si>
  <si>
    <r>
      <rPr>
        <sz val="12"/>
        <rFont val="Arial"/>
        <family val="2"/>
      </rPr>
      <t xml:space="preserve">Target average farm covers are something you will need to sort out for your own situation. In an ideal world, it could be argued that they would be around 2250 + or – 250 kg DM/ha.  Av farm covers &gt; 3000 kg DM/ha imply </t>
    </r>
    <r>
      <rPr>
        <i val="true"/>
        <sz val="12"/>
        <rFont val="Arial"/>
        <family val="2"/>
      </rPr>
      <t xml:space="preserve">some</t>
    </r>
    <r>
      <rPr>
        <sz val="12"/>
        <rFont val="Arial"/>
        <family val="2"/>
      </rPr>
      <t xml:space="preserve"> pastures will be going to seed and losing quality whereas Av farm covers &lt; 1900 kg DM/ha imply too many pastures will be overgrazed.</t>
    </r>
  </si>
  <si>
    <r>
      <rPr>
        <sz val="12"/>
        <rFont val="Arial"/>
        <family val="2"/>
      </rPr>
      <t xml:space="preserve">Pasture forecast feed budgets are based on trying to match </t>
    </r>
    <r>
      <rPr>
        <b val="true"/>
        <sz val="12"/>
        <rFont val="Arial"/>
        <family val="2"/>
      </rPr>
      <t xml:space="preserve">forecasted</t>
    </r>
    <r>
      <rPr>
        <sz val="12"/>
        <rFont val="Arial"/>
        <family val="2"/>
      </rPr>
      <t xml:space="preserve"> average farm covers as close as possible to  </t>
    </r>
    <r>
      <rPr>
        <b val="true"/>
        <sz val="12"/>
        <rFont val="Arial"/>
        <family val="2"/>
      </rPr>
      <t xml:space="preserve">target average farm covers.</t>
    </r>
    <r>
      <rPr>
        <sz val="12"/>
        <rFont val="Arial"/>
        <family val="2"/>
      </rPr>
      <t xml:space="preserve"> </t>
    </r>
  </si>
  <si>
    <r>
      <rPr>
        <sz val="12"/>
        <rFont val="Arial"/>
        <family val="2"/>
      </rPr>
      <t xml:space="preserve">Altering stock numbers and amount of pasture feed per head will alter the</t>
    </r>
    <r>
      <rPr>
        <b val="true"/>
        <sz val="12"/>
        <rFont val="Arial"/>
        <family val="2"/>
      </rPr>
      <t xml:space="preserve"> forecasted average farm cover</t>
    </r>
    <r>
      <rPr>
        <sz val="12"/>
        <rFont val="Arial"/>
        <family val="2"/>
      </rPr>
      <t xml:space="preserve">.</t>
    </r>
  </si>
  <si>
    <t xml:space="preserve">Differences between forecasted and target average farm covers represent feed deficits or surpluses (assuming stock are correctly fed).</t>
  </si>
  <si>
    <t xml:space="preserve">Deficits can be managed by substituting pasture feed with feed supplements. Surpluses can be managed by taking an area of pasture out for hay or silage.</t>
  </si>
  <si>
    <t xml:space="preserve">The feed budget accommodates several classes of stock and supplementary feed types, including areas of fodder crop.</t>
  </si>
  <si>
    <t xml:space="preserve">How to use this spreadsheet</t>
  </si>
  <si>
    <r>
      <rPr>
        <sz val="12"/>
        <rFont val="Arial"/>
        <family val="2"/>
      </rPr>
      <t xml:space="preserve">In all instances throughout this spreadsheet workbook,  enter data only where  characters are</t>
    </r>
    <r>
      <rPr>
        <b val="true"/>
        <sz val="12"/>
        <color rgb="FF0000FF"/>
        <rFont val="MS Sans Serif"/>
        <family val="2"/>
      </rPr>
      <t xml:space="preserve"> bold blue.</t>
    </r>
  </si>
  <si>
    <t xml:space="preserve">Each worksheet in protected enabling users to enter dat only in non-locked (non protected) cells'. This is simply a precaution to stop the user from overwriting formulas etc
</t>
  </si>
  <si>
    <t xml:space="preserve"> You can however 'unprotect' the worksheet should you need to by going to  Tools&gt;&gt;Unprotect. There is no password required to protect or unprotect the worksheets.</t>
  </si>
  <si>
    <t xml:space="preserve">You can therefore change the spreadsheet should you wish to. You will however need to have a good understanding of how spreadsheets work to do so. </t>
  </si>
  <si>
    <r>
      <rPr>
        <b val="true"/>
        <sz val="12"/>
        <rFont val="Arial"/>
        <family val="2"/>
      </rPr>
      <t xml:space="preserve">To use the feed budget, you must </t>
    </r>
    <r>
      <rPr>
        <b val="true"/>
        <sz val="12"/>
        <rFont val="MS Sans Serif"/>
        <family val="2"/>
      </rPr>
      <t xml:space="preserve">start with and complete as much as possible in the  'Set up' worksheet. </t>
    </r>
  </si>
  <si>
    <t xml:space="preserve">Set up worksheet</t>
  </si>
  <si>
    <t xml:space="preserve">Set Up &gt;&gt;&gt; Farm Details</t>
  </si>
  <si>
    <t xml:space="preserve">Start by entering the Farm Name, and  the  effective farm area .</t>
  </si>
  <si>
    <t xml:space="preserve">Set Up &gt;&gt;&gt;Forecast Intervals (Periods) for feed budget </t>
  </si>
  <si>
    <t xml:space="preserve">Enter the Start Date for the feed budget. Follow by entering  the number of days for each period</t>
  </si>
  <si>
    <t xml:space="preserve"> The number of days will determine the end date of each period. The end date  of one period becomes the opening date for the following period.</t>
  </si>
  <si>
    <t xml:space="preserve">The spreadsheet accommodates 12 periods. You can use as few or many of these as required.</t>
  </si>
  <si>
    <t xml:space="preserve"> The period lengths can be any length although monthly intervals are typically useful. </t>
  </si>
  <si>
    <t xml:space="preserve">  Be sure to enter the Target average Farm Covers for the end of each period, the  predicted Pasture Growth Rates for each period, Stock classes and numbers, Supplement types and amounts on hand.</t>
  </si>
  <si>
    <t xml:space="preserve">Sample data is used in ‘Set up’.  Overwrite these with your own where applicable.</t>
  </si>
  <si>
    <t xml:space="preserve">You can use default stock types/classes or overwrite with your own. Likewise with supplements. Changes will ripple through to subsequent worksheets (periods).</t>
  </si>
  <si>
    <t xml:space="preserve">Set Up &gt;&gt;&gt;Pasture Growth Rates</t>
  </si>
  <si>
    <t xml:space="preserve">Enter pasture growth rates for each period. The spreadsheet accommodates 3 pasture types, Good, Average, Poor.  You can use all or any of these.</t>
  </si>
  <si>
    <t xml:space="preserve">You may choose to overwrite these heading with something like ‘ irrigated’,’ non-irrigated’, ‘hills’ etc.  </t>
  </si>
  <si>
    <t xml:space="preserve">Just be sure that you enter the percentage presence of each  pasture type for  the farm and that they all add up to 100% even if you opt for only one type.</t>
  </si>
  <si>
    <t xml:space="preserve">Set Up &gt;&gt;&gt;Average Farm Cover  targets</t>
  </si>
  <si>
    <t xml:space="preserve">Start by entering the actual average Farm Cover for the opening data of period 1. You may have determined this figure from farm measurement or estimation.</t>
  </si>
  <si>
    <t xml:space="preserve">Continue by entering the Target (desired) average farm covers for the closing of each period. </t>
  </si>
  <si>
    <t xml:space="preserve">Set Up &gt;&gt;&gt;Feed Supplements and their Utilisation</t>
  </si>
  <si>
    <t xml:space="preserve">Enter supplement types, their expected utilisation percentages and enter the  quantity (kg DM) on hand for each supplement type as at the start of period 1.</t>
  </si>
  <si>
    <t xml:space="preserve">You can overwrite the supplement types with your own descriptions.</t>
  </si>
  <si>
    <t xml:space="preserve">Set Up &gt;&gt;&gt;Target stock numbers and target total daily  individual feed intakes</t>
  </si>
  <si>
    <t xml:space="preserve">Enter target (desired) stock numbers and individual target (desired)  daily feed intakes for each class of stock  for each time period. Feed intakes include both pasture and supplements.</t>
  </si>
  <si>
    <t xml:space="preserve">These figures will  trickle through to each respective ‘period’ worksheet and serve as useful prompts/reminders for when you fine-tune the forecast feed budget.</t>
  </si>
  <si>
    <t xml:space="preserve">You can overwrite the stock  types with your own descriptions.</t>
  </si>
  <si>
    <t xml:space="preserve">Period ‘n’  worksheet(s)</t>
  </si>
  <si>
    <t xml:space="preserve">Period ‘n’ &gt;&gt;&gt; Pasture Supply</t>
  </si>
  <si>
    <t xml:space="preserve">Enter any area taken out of pasture for crops or hay/silage. This is important as area taken out impacts on total pasture available (and therefore average farm covers).</t>
  </si>
  <si>
    <t xml:space="preserve">Period ‘n’ &gt;&gt;&gt; Supplements</t>
  </si>
  <si>
    <t xml:space="preserve">You can select  and reorder how  each supplement type displays via the pull down menus for each period. </t>
  </si>
  <si>
    <t xml:space="preserve">You can add to each supplement type inventory in the ‘Add more’ column. This might be as hay or silage is made, crop becomes ready or supplements are bought in.</t>
  </si>
  <si>
    <t xml:space="preserve">Period ‘n’ &gt;&gt;&gt;Feed Demand</t>
  </si>
  <si>
    <t xml:space="preserve">You can select  and reorder  each stock/class  type  via the pull down menus for each period. The target stock numbers and target daily feed intakes </t>
  </si>
  <si>
    <t xml:space="preserve">will have trickled through from set up. </t>
  </si>
  <si>
    <t xml:space="preserve">Enter the actual stock numbers, and pasture and supplement intakes for each class of stock. </t>
  </si>
  <si>
    <t xml:space="preserve">The figures you enter for stock numbers, pasture and supplement intakes may or may not agree with the targets – this is up to you. See comments above in</t>
  </si>
  <si>
    <t xml:space="preserve">section headed Objective (logic) behind  forecast feed budgeting</t>
  </si>
  <si>
    <t xml:space="preserve">Period ‘n’ &gt;&gt;&gt; Feed Required to Offer</t>
  </si>
  <si>
    <t xml:space="preserve">There is nothing to enter here. This table serves as a guide as to how much feed of each type should be offered to each class of stock to ensure they receive</t>
  </si>
  <si>
    <t xml:space="preserve">the correct nett quantities (in the gut) to meet production goals while still accounting for losses due to feed utilisation (eg feed lost due to say tramping underfoot) </t>
  </si>
  <si>
    <t xml:space="preserve">Period ‘n’ &gt;&gt;&gt; Average Farm Cover data</t>
  </si>
  <si>
    <t xml:space="preserve">There is nothing to enter here. This information (including the graph) serves as a guide while adjusting the stock numbers and feed inputs. See comments above</t>
  </si>
  <si>
    <t xml:space="preserve">in the section headed ‘Objective (logic) behind  forecast feed budgeting’ .</t>
  </si>
  <si>
    <t xml:space="preserve">Period end Date</t>
  </si>
  <si>
    <t xml:space="preserve">Target Av. Farm Cover kg DM/ha</t>
  </si>
  <si>
    <t xml:space="preserve">Forecast end of period Av Farm Cover kg DM/ha</t>
  </si>
  <si>
    <t xml:space="preserve">Set Up</t>
  </si>
  <si>
    <t xml:space="preserve"> NB A red mark in corner denotes a comment to read . Hold cursor over mark to read comment</t>
  </si>
  <si>
    <t xml:space="preserve">Farm Details</t>
  </si>
  <si>
    <t xml:space="preserve">Notes:</t>
  </si>
  <si>
    <t xml:space="preserve">Farm Name</t>
  </si>
  <si>
    <t xml:space="preserve">Farm A</t>
  </si>
  <si>
    <r>
      <rPr>
        <sz val="10"/>
        <color rgb="FF000000"/>
        <rFont val="Arial"/>
        <family val="2"/>
      </rPr>
      <t xml:space="preserve">You can </t>
    </r>
    <r>
      <rPr>
        <b val="true"/>
        <sz val="10"/>
        <color rgb="FF000000"/>
        <rFont val="Arial"/>
        <family val="2"/>
      </rPr>
      <t xml:space="preserve">overwrite</t>
    </r>
    <r>
      <rPr>
        <sz val="10"/>
        <color rgb="FF000000"/>
        <rFont val="Arial"/>
        <family val="2"/>
      </rPr>
      <t xml:space="preserve"> the Farm Name with your own</t>
    </r>
  </si>
  <si>
    <t xml:space="preserve">Farm Area</t>
  </si>
  <si>
    <t xml:space="preserve">Effective Farm Area</t>
  </si>
  <si>
    <t xml:space="preserve">ha</t>
  </si>
  <si>
    <t xml:space="preserve">The effective farm area is often taken to be the total farm area less 5% allowance for laneways, drains, buildings</t>
  </si>
  <si>
    <t xml:space="preserve">The spreadsheet accommodates 12 periods. Data entered in the date field cells will determine the end date of each period. </t>
  </si>
  <si>
    <t xml:space="preserve">The end date  of one period becomes the opening date for the following period.</t>
  </si>
  <si>
    <t xml:space="preserve">Forecast Intervals (Periods) for feed budget </t>
  </si>
  <si>
    <t xml:space="preserve">You might choose monthly intervals where growth rates or demand are  more or less constant, or shorten tntervals hiem to as little as e.g. 10 days - as you see fit</t>
  </si>
  <si>
    <t xml:space="preserve">Period 1</t>
  </si>
  <si>
    <t xml:space="preserve">Period 2</t>
  </si>
  <si>
    <t xml:space="preserve">Period 3</t>
  </si>
  <si>
    <t xml:space="preserve">Period 4</t>
  </si>
  <si>
    <t xml:space="preserve">Period 5</t>
  </si>
  <si>
    <t xml:space="preserve">Period 6</t>
  </si>
  <si>
    <t xml:space="preserve">Period 7</t>
  </si>
  <si>
    <t xml:space="preserve">Period 8</t>
  </si>
  <si>
    <t xml:space="preserve">Period 9</t>
  </si>
  <si>
    <t xml:space="preserve">Period 10</t>
  </si>
  <si>
    <t xml:space="preserve">Period 11</t>
  </si>
  <si>
    <t xml:space="preserve">Period 12</t>
  </si>
  <si>
    <t xml:space="preserve">Enter Start date dd/mm/yy  &gt;&gt;&gt;</t>
  </si>
  <si>
    <r>
      <rPr>
        <sz val="10"/>
        <rFont val="Arial"/>
        <family val="2"/>
      </rPr>
      <t xml:space="preserve">Interval (state no# of days)</t>
    </r>
    <r>
      <rPr>
        <b val="true"/>
        <sz val="10"/>
        <rFont val="Arial"/>
        <family val="2"/>
      </rPr>
      <t xml:space="preserve"> &gt;&gt;&gt;</t>
    </r>
  </si>
  <si>
    <t xml:space="preserve">Closing date of period </t>
  </si>
  <si>
    <t xml:space="preserve">Pasture Growth Rates</t>
  </si>
  <si>
    <t xml:space="preserve"> Pasture growth rates often vary significantly on different parts of a farm – especially on irrigated,  large or development properties.  To accommodate this, three pasture types  (good, average, poor) are nominated below </t>
  </si>
  <si>
    <r>
      <rPr>
        <sz val="10"/>
        <rFont val="Arial"/>
        <family val="2"/>
      </rPr>
      <t xml:space="preserve">You can enter pasture average daily growth rates for</t>
    </r>
    <r>
      <rPr>
        <b val="true"/>
        <sz val="10"/>
        <rFont val="Arial"/>
        <family val="2"/>
      </rPr>
      <t xml:space="preserve"> any or all </t>
    </r>
    <r>
      <rPr>
        <sz val="10"/>
        <rFont val="Arial"/>
        <family val="2"/>
      </rPr>
      <t xml:space="preserve">of the pasture types as reflects your situation.  For example, all (100%)  good pasture. Just be sure that the combined percentages for each pasture type total to100%.</t>
    </r>
  </si>
  <si>
    <t xml:space="preserve">Enter  pasture growth  rates (kg dm/ha/day ) for each period and  type of  pasture below</t>
  </si>
  <si>
    <t xml:space="preserve">to</t>
  </si>
  <si>
    <t xml:space="preserve">Good pasture</t>
  </si>
  <si>
    <t xml:space="preserve">Average pasture</t>
  </si>
  <si>
    <t xml:space="preserve">Poor pasture</t>
  </si>
  <si>
    <t xml:space="preserve">Weighted average pasture growth kg DM/ha/day</t>
  </si>
  <si>
    <t xml:space="preserve">Average Farm Cover  targets</t>
  </si>
  <si>
    <r>
      <rPr>
        <sz val="10"/>
        <rFont val="Arial"/>
        <family val="2"/>
      </rPr>
      <t xml:space="preserve">1) Enter </t>
    </r>
    <r>
      <rPr>
        <b val="true"/>
        <sz val="10"/>
        <rFont val="Arial"/>
        <family val="2"/>
      </rPr>
      <t xml:space="preserve">actual</t>
    </r>
    <r>
      <rPr>
        <sz val="10"/>
        <rFont val="Arial"/>
        <family val="2"/>
      </rPr>
      <t xml:space="preserve"> Average Farm Cover  for the </t>
    </r>
  </si>
  <si>
    <r>
      <rPr>
        <sz val="10"/>
        <rFont val="Arial"/>
        <family val="2"/>
      </rPr>
      <t xml:space="preserve">      </t>
    </r>
    <r>
      <rPr>
        <b val="true"/>
        <sz val="10"/>
        <rFont val="Arial"/>
        <family val="2"/>
      </rPr>
      <t xml:space="preserve">opening</t>
    </r>
    <r>
      <rPr>
        <sz val="10"/>
        <rFont val="Arial"/>
        <family val="2"/>
      </rPr>
      <t xml:space="preserve"> of </t>
    </r>
    <r>
      <rPr>
        <b val="true"/>
        <sz val="10"/>
        <rFont val="Arial"/>
        <family val="2"/>
      </rPr>
      <t xml:space="preserve">Period 1</t>
    </r>
    <r>
      <rPr>
        <sz val="10"/>
        <rFont val="Arial"/>
        <family val="2"/>
      </rPr>
      <t xml:space="preserve">  here  </t>
    </r>
    <r>
      <rPr>
        <b val="true"/>
        <sz val="10"/>
        <rFont val="Arial"/>
        <family val="2"/>
      </rPr>
      <t xml:space="preserve">&gt;&gt;&gt;&gt;&gt;</t>
    </r>
  </si>
  <si>
    <r>
      <rPr>
        <sz val="10"/>
        <rFont val="Arial"/>
        <family val="2"/>
      </rPr>
      <t xml:space="preserve"> 2) Enter closing </t>
    </r>
    <r>
      <rPr>
        <b val="true"/>
        <sz val="10"/>
        <rFont val="Arial"/>
        <family val="2"/>
      </rPr>
      <t xml:space="preserve">TARGET </t>
    </r>
    <r>
      <rPr>
        <sz val="10"/>
        <rFont val="Arial"/>
        <family val="2"/>
      </rPr>
      <t xml:space="preserve"> (desired) Average Farm Pasture Covers</t>
    </r>
  </si>
  <si>
    <r>
      <rPr>
        <sz val="10"/>
        <rFont val="Arial"/>
        <family val="2"/>
      </rPr>
      <t xml:space="preserve"> for each period here </t>
    </r>
    <r>
      <rPr>
        <b val="true"/>
        <sz val="10"/>
        <rFont val="Arial"/>
        <family val="2"/>
      </rPr>
      <t xml:space="preserve">&gt;&gt;&gt;</t>
    </r>
  </si>
  <si>
    <t xml:space="preserve">Pasture Utilisation%</t>
  </si>
  <si>
    <t xml:space="preserve">The percentage of feed utilised can vary by feed type, means of feeding and time of year. For example pasture utilisation may be lower in wetter months compared to dry.  Utilisation of pasture silage may be higher with  wrapped silage compared to pit silage.</t>
  </si>
  <si>
    <t xml:space="preserve">Enter the utilisation% as a number . Eg 90 for 90%. This means 90% of the feed stuff offered ends up in the animals stomach when grazed, 10% is lost to wastage (eg losses due to treading/trampling  damage etc).  NB: Wastage does NOT include the pasture residual.</t>
  </si>
  <si>
    <t xml:space="preserve">The spread sheet will automatically account for the utilisation % when calculating actual feed stuff used. For example if 1000 kg DM is offered to stock, and the utilisation is 90%, the program will calculate that 1111 kg DM of feed stuff was used.</t>
  </si>
  <si>
    <t xml:space="preserve">Enter Utilisation % for each month</t>
  </si>
  <si>
    <t xml:space="preserve">Pasture</t>
  </si>
  <si>
    <t xml:space="preserve">Feed Supplements and their Utilisation</t>
  </si>
  <si>
    <t xml:space="preserve">kg DM on hand </t>
  </si>
  <si>
    <t xml:space="preserve">Supplement</t>
  </si>
  <si>
    <t xml:space="preserve">Utilisation %</t>
  </si>
  <si>
    <r>
      <rPr>
        <sz val="10"/>
        <rFont val="Arial"/>
        <family val="2"/>
      </rPr>
      <t xml:space="preserve">start </t>
    </r>
    <r>
      <rPr>
        <b val="true"/>
        <sz val="10"/>
        <rFont val="Arial"/>
        <family val="2"/>
      </rPr>
      <t xml:space="preserve">Period1</t>
    </r>
  </si>
  <si>
    <t xml:space="preserve">Pasture Silage</t>
  </si>
  <si>
    <t xml:space="preserve">Maize Silage</t>
  </si>
  <si>
    <t xml:space="preserve">Meadow Hay</t>
  </si>
  <si>
    <t xml:space="preserve">Crop</t>
  </si>
  <si>
    <t xml:space="preserve">Meal</t>
  </si>
  <si>
    <t xml:space="preserve">target stock numbers and target total daily  individual feed intakes</t>
  </si>
  <si>
    <t xml:space="preserve">Enter target stock numbers and individual target daily feed intakes for each class of stock and for each time period.</t>
  </si>
  <si>
    <t xml:space="preserve">These are only suggested stock types and classes. </t>
  </si>
  <si>
    <t xml:space="preserve">You can overwrite these with your own.</t>
  </si>
  <si>
    <t xml:space="preserve">Milking Cows Herd A</t>
  </si>
  <si>
    <t xml:space="preserve">Numbers</t>
  </si>
  <si>
    <t xml:space="preserve">Total Intake (kg DM/head/day)</t>
  </si>
  <si>
    <t xml:space="preserve">Milking Cows Herd B</t>
  </si>
  <si>
    <t xml:space="preserve">Dry Fats</t>
  </si>
  <si>
    <t xml:space="preserve">Dry thins</t>
  </si>
  <si>
    <t xml:space="preserve">R 2yr heifers</t>
  </si>
  <si>
    <t xml:space="preserve">Heifer Calves</t>
  </si>
  <si>
    <t xml:space="preserve">Bull Calves</t>
  </si>
  <si>
    <t xml:space="preserve">Bulls</t>
  </si>
  <si>
    <t xml:space="preserve">Springers</t>
  </si>
  <si>
    <t xml:space="preserve">Other</t>
  </si>
  <si>
    <t xml:space="preserve">totals </t>
  </si>
  <si>
    <r>
      <rPr>
        <b val="true"/>
        <sz val="12"/>
        <color rgb="FF000000"/>
        <rFont val="Arial"/>
        <family val="2"/>
      </rPr>
      <t xml:space="preserve">Enter into</t>
    </r>
    <r>
      <rPr>
        <b val="true"/>
        <sz val="12"/>
        <color rgb="FF0000FF"/>
        <rFont val="Arial"/>
        <family val="2"/>
      </rPr>
      <t xml:space="preserve"> Blue Cells </t>
    </r>
    <r>
      <rPr>
        <b val="true"/>
        <sz val="12"/>
        <color rgb="FF000000"/>
        <rFont val="Arial"/>
        <family val="2"/>
      </rPr>
      <t xml:space="preserve">ONLY</t>
    </r>
  </si>
  <si>
    <t xml:space="preserve">Period </t>
  </si>
  <si>
    <t xml:space="preserve">Look for red mark in corner of cell
Hover mouse over to read comments/tips</t>
  </si>
  <si>
    <t xml:space="preserve">NB: * denotes where  information shown is established  ‘Set up’</t>
  </si>
  <si>
    <t xml:space="preserve">Pasture Supply</t>
  </si>
  <si>
    <t xml:space="preserve">Supplements</t>
  </si>
  <si>
    <r>
      <rPr>
        <sz val="8"/>
        <rFont val="Arial"/>
        <family val="2"/>
      </rPr>
      <t xml:space="preserve">*Opening date (</t>
    </r>
    <r>
      <rPr>
        <b val="true"/>
        <sz val="8"/>
        <rFont val="Arial"/>
        <family val="2"/>
      </rPr>
      <t xml:space="preserve">Alter in Set up</t>
    </r>
    <r>
      <rPr>
        <sz val="8"/>
        <rFont val="Arial"/>
        <family val="2"/>
      </rPr>
      <t xml:space="preserve">)</t>
    </r>
  </si>
  <si>
    <t xml:space="preserve">On Hand</t>
  </si>
  <si>
    <t xml:space="preserve">USED (consumed) </t>
  </si>
  <si>
    <t xml:space="preserve">Add more</t>
  </si>
  <si>
    <t xml:space="preserve">Remaining</t>
  </si>
  <si>
    <t xml:space="preserve">*Forecasting  (state no# of days)</t>
  </si>
  <si>
    <t xml:space="preserve">Select below</t>
  </si>
  <si>
    <t xml:space="preserve">(kg DM)</t>
  </si>
  <si>
    <t xml:space="preserve"> (kg DM)</t>
  </si>
  <si>
    <t xml:space="preserve">End of interval date </t>
  </si>
  <si>
    <t xml:space="preserve">*Total effective farm area (ha)</t>
  </si>
  <si>
    <t xml:space="preserve">Previously</t>
  </si>
  <si>
    <t xml:space="preserve">Area in forage crops (ha)</t>
  </si>
  <si>
    <t xml:space="preserve">Area shut for hay/silage (ha)</t>
  </si>
  <si>
    <t xml:space="preserve">Nett Pasture available for grazing (ha)</t>
  </si>
  <si>
    <t xml:space="preserve">NB: feed  utilisation %’s are determined in ‘Set up’  and these automatically increase  the USED (consumed) values above.</t>
  </si>
  <si>
    <t xml:space="preserve">*Target av daily pasture growth rate </t>
  </si>
  <si>
    <t xml:space="preserve">kg DM/ha/day</t>
  </si>
  <si>
    <r>
      <rPr>
        <sz val="10"/>
        <rFont val="Arial"/>
        <family val="2"/>
      </rPr>
      <t xml:space="preserve">NB:  -ve </t>
    </r>
    <r>
      <rPr>
        <sz val="10"/>
        <color rgb="FFFF420E"/>
        <rFont val="Arial"/>
        <family val="2"/>
      </rPr>
      <t xml:space="preserve">red numbers</t>
    </r>
    <r>
      <rPr>
        <sz val="10"/>
        <rFont val="Arial"/>
        <family val="2"/>
      </rPr>
      <t xml:space="preserve"> indicate a deficit</t>
    </r>
  </si>
  <si>
    <t xml:space="preserve">Feed Demand</t>
  </si>
  <si>
    <r>
      <rPr>
        <sz val="10"/>
        <rFont val="Arial"/>
        <family val="2"/>
      </rPr>
      <t xml:space="preserve">Enter  the required </t>
    </r>
    <r>
      <rPr>
        <b val="true"/>
        <sz val="10"/>
        <rFont val="Arial"/>
        <family val="2"/>
      </rPr>
      <t xml:space="preserve">kg DM intake/head for each feed type  </t>
    </r>
    <r>
      <rPr>
        <sz val="10"/>
        <rFont val="Arial"/>
        <family val="2"/>
      </rPr>
      <t xml:space="preserve">in the  table below. 
You do not have account for  feed utilisation losses here. 
These are calculated from information entered  in ‘Set up’
low</t>
    </r>
  </si>
  <si>
    <t xml:space="preserve">Daily Stock demands of stock for period concerned.
 Select from drop down menus below.
See ‘Set up’ sheet  to change description</t>
  </si>
  <si>
    <t xml:space="preserve">*target  Stock no#s </t>
  </si>
  <si>
    <t xml:space="preserve">ADJUSTED  Stock Numbers
(must enter!)</t>
  </si>
  <si>
    <t xml:space="preserve">* target  feed intake (kg DM/head/day) </t>
  </si>
  <si>
    <t xml:space="preserve">Actual Total 
Feed intake (kg DM/head/day) 
</t>
  </si>
  <si>
    <t xml:space="preserve">Previous </t>
  </si>
  <si>
    <t xml:space="preserve">Stock totals</t>
  </si>
  <si>
    <t xml:space="preserve">Calculated end of month</t>
  </si>
  <si>
    <t xml:space="preserve">Average Farm Cover </t>
  </si>
  <si>
    <t xml:space="preserve">(Target)</t>
  </si>
  <si>
    <t xml:space="preserve">kg DM/ha/day )</t>
  </si>
  <si>
    <t xml:space="preserve">Feed Required to Offer</t>
  </si>
  <si>
    <t xml:space="preserve">kgDM/head/day  that must be offered  
 to meet feed *utilisation  loss factors.</t>
  </si>
  <si>
    <t xml:space="preserve">to compensate for utilisation factors</t>
  </si>
  <si>
    <r>
      <rPr>
        <sz val="10"/>
        <rFont val="Arial"/>
        <family val="2"/>
      </rPr>
      <t xml:space="preserve">Total   </t>
    </r>
    <r>
      <rPr>
        <b val="true"/>
        <sz val="10"/>
        <rFont val="Arial"/>
        <family val="2"/>
      </rPr>
      <t xml:space="preserve">kg DM/day</t>
    </r>
    <r>
      <rPr>
        <sz val="10"/>
        <rFont val="Arial"/>
        <family val="2"/>
      </rPr>
      <t xml:space="preserve"> for each feed type consumed </t>
    </r>
    <r>
      <rPr>
        <b val="true"/>
        <sz val="10"/>
        <rFont val="Arial"/>
        <family val="2"/>
      </rPr>
      <t xml:space="preserve">each day</t>
    </r>
    <r>
      <rPr>
        <sz val="10"/>
        <rFont val="Arial"/>
        <family val="2"/>
      </rPr>
      <t xml:space="preserve"> </t>
    </r>
  </si>
  <si>
    <r>
      <rPr>
        <sz val="10"/>
        <rFont val="Arial"/>
        <family val="2"/>
      </rPr>
      <t xml:space="preserve">Total </t>
    </r>
    <r>
      <rPr>
        <b val="true"/>
        <sz val="10"/>
        <rFont val="Arial"/>
        <family val="2"/>
      </rPr>
      <t xml:space="preserve"> kg DM</t>
    </r>
    <r>
      <rPr>
        <sz val="10"/>
        <rFont val="Arial"/>
        <family val="2"/>
      </rPr>
      <t xml:space="preserve"> of each feed type consumed</t>
    </r>
    <r>
      <rPr>
        <b val="true"/>
        <sz val="10"/>
        <rFont val="Arial"/>
        <family val="2"/>
      </rPr>
      <t xml:space="preserve"> over period</t>
    </r>
  </si>
  <si>
    <r>
      <rPr>
        <sz val="10"/>
        <rFont val="Arial"/>
        <family val="2"/>
      </rPr>
      <t xml:space="preserve">NB Figures in above 2 rows </t>
    </r>
    <r>
      <rPr>
        <b val="true"/>
        <sz val="10"/>
        <rFont val="Arial"/>
        <family val="2"/>
      </rPr>
      <t xml:space="preserve">take into account any feed utilisation losses.</t>
    </r>
  </si>
  <si>
    <t xml:space="preserve">Average Farm Cover data</t>
  </si>
  <si>
    <t xml:space="preserve">Opening Av Farm Cover</t>
  </si>
  <si>
    <t xml:space="preserve">kg DM/ha</t>
  </si>
  <si>
    <t xml:space="preserve">Calculated (forecast) end of period Av Farm Cover</t>
  </si>
  <si>
    <t xml:space="preserve">*cf toTarget Av Farm Cover for END of period</t>
  </si>
  <si>
    <t xml:space="preserve">a difference of</t>
  </si>
  <si>
    <r>
      <rPr>
        <sz val="8"/>
        <rFont val="Arial"/>
        <family val="2"/>
      </rPr>
      <t xml:space="preserve">NB:  -ve </t>
    </r>
    <r>
      <rPr>
        <sz val="8"/>
        <color rgb="FFFF420E"/>
        <rFont val="Arial"/>
        <family val="2"/>
      </rPr>
      <t xml:space="preserve">red numbers</t>
    </r>
    <r>
      <rPr>
        <sz val="8"/>
        <rFont val="Arial"/>
        <family val="2"/>
      </rPr>
      <t xml:space="preserve"> indicate a deficit</t>
    </r>
  </si>
  <si>
    <t xml:space="preserve">or</t>
  </si>
</sst>
</file>

<file path=xl/styles.xml><?xml version="1.0" encoding="utf-8"?>
<styleSheet xmlns="http://schemas.openxmlformats.org/spreadsheetml/2006/main">
  <numFmts count="13">
    <numFmt numFmtId="164" formatCode="General"/>
    <numFmt numFmtId="165" formatCode="[$$-C09]#,##0.00;[RED]\-[$$-C09]#,##0.00"/>
    <numFmt numFmtId="166" formatCode="D\ MMM\ YY"/>
    <numFmt numFmtId="167" formatCode="0"/>
    <numFmt numFmtId="168" formatCode="#,##0;[RED]\-#,##0"/>
    <numFmt numFmtId="169" formatCode="DD\-MMM\-YY;@"/>
    <numFmt numFmtId="170" formatCode="0%"/>
    <numFmt numFmtId="171" formatCode="0.00%"/>
    <numFmt numFmtId="172" formatCode="@"/>
    <numFmt numFmtId="173" formatCode="@"/>
    <numFmt numFmtId="174" formatCode="#,##0"/>
    <numFmt numFmtId="175" formatCode="0.0"/>
    <numFmt numFmtId="176" formatCode="#,##0;\-#,##0"/>
  </numFmts>
  <fonts count="62">
    <font>
      <sz val="10"/>
      <name val="MS Sans Serif"/>
      <family val="2"/>
    </font>
    <font>
      <sz val="10"/>
      <name val="Arial"/>
      <family val="0"/>
    </font>
    <font>
      <sz val="10"/>
      <name val="Arial"/>
      <family val="0"/>
    </font>
    <font>
      <sz val="10"/>
      <name val="Arial"/>
      <family val="0"/>
    </font>
    <font>
      <b val="true"/>
      <i val="true"/>
      <u val="single"/>
      <sz val="10"/>
      <name val="MS Sans Serif"/>
      <family val="2"/>
    </font>
    <font>
      <b val="true"/>
      <i val="true"/>
      <sz val="16"/>
      <name val="MS Sans Serif"/>
      <family val="2"/>
    </font>
    <font>
      <sz val="12"/>
      <name val="Arial"/>
      <family val="2"/>
    </font>
    <font>
      <sz val="10"/>
      <name val="Arial"/>
      <family val="2"/>
    </font>
    <font>
      <u val="single"/>
      <sz val="12"/>
      <color rgb="FF0000FF"/>
      <name val="MS Sans Serif"/>
      <family val="2"/>
    </font>
    <font>
      <u val="single"/>
      <sz val="10"/>
      <color rgb="FF0000FF"/>
      <name val="MS Sans Serif"/>
      <family val="2"/>
    </font>
    <font>
      <sz val="12"/>
      <color rgb="FF3C3C3C"/>
      <name val="Arial"/>
      <family val="2"/>
    </font>
    <font>
      <b val="true"/>
      <sz val="20"/>
      <name val="Arial"/>
      <family val="2"/>
    </font>
    <font>
      <b val="true"/>
      <sz val="12"/>
      <name val="Arial"/>
      <family val="2"/>
    </font>
    <font>
      <i val="true"/>
      <sz val="12"/>
      <name val="Arial"/>
      <family val="2"/>
    </font>
    <font>
      <b val="true"/>
      <sz val="12"/>
      <color rgb="FF0000FF"/>
      <name val="MS Sans Serif"/>
      <family val="2"/>
    </font>
    <font>
      <b val="true"/>
      <sz val="12"/>
      <name val="MS Sans Serif"/>
      <family val="2"/>
    </font>
    <font>
      <b val="true"/>
      <sz val="15"/>
      <name val="Arial"/>
      <family val="2"/>
    </font>
    <font>
      <b val="true"/>
      <sz val="15"/>
      <color rgb="FF000000"/>
      <name val="Arial"/>
      <family val="2"/>
    </font>
    <font>
      <b val="true"/>
      <sz val="10"/>
      <name val="MS Sans Serif"/>
      <family val="2"/>
    </font>
    <font>
      <b val="true"/>
      <sz val="16"/>
      <name val="MS Sans Serif"/>
      <family val="2"/>
    </font>
    <font>
      <b val="true"/>
      <sz val="10"/>
      <color rgb="FF0000FF"/>
      <name val="MS Sans Serif"/>
      <family val="2"/>
    </font>
    <font>
      <b val="true"/>
      <sz val="10"/>
      <color rgb="FFFF0000"/>
      <name val="MS Sans Serif"/>
      <family val="2"/>
    </font>
    <font>
      <sz val="10"/>
      <color rgb="FF0000FF"/>
      <name val="MS Sans Serif"/>
      <family val="2"/>
    </font>
    <font>
      <sz val="13"/>
      <name val="Arial"/>
      <family val="2"/>
    </font>
    <font>
      <sz val="10"/>
      <color rgb="FF3333FF"/>
      <name val="Arial"/>
      <family val="2"/>
    </font>
    <font>
      <sz val="10"/>
      <color rgb="FFFF3333"/>
      <name val="Arial"/>
      <family val="2"/>
    </font>
    <font>
      <sz val="10"/>
      <color rgb="FF3C3C3C"/>
      <name val="Arial"/>
      <family val="2"/>
    </font>
    <font>
      <sz val="9"/>
      <name val="Arial"/>
      <family val="2"/>
    </font>
    <font>
      <b val="true"/>
      <sz val="26"/>
      <name val="Arial"/>
      <family val="2"/>
    </font>
    <font>
      <b val="true"/>
      <sz val="14"/>
      <color rgb="FFFFFFFF"/>
      <name val="Arial"/>
      <family val="2"/>
    </font>
    <font>
      <b val="true"/>
      <sz val="15"/>
      <color rgb="FFFF0000"/>
      <name val="Arial"/>
      <family val="2"/>
    </font>
    <font>
      <b val="true"/>
      <sz val="10"/>
      <color rgb="FFFF0000"/>
      <name val="Arial"/>
      <family val="2"/>
    </font>
    <font>
      <b val="true"/>
      <sz val="10"/>
      <name val="Arial"/>
      <family val="2"/>
    </font>
    <font>
      <sz val="15"/>
      <name val="Arial"/>
      <family val="2"/>
    </font>
    <font>
      <u val="single"/>
      <sz val="10"/>
      <color rgb="FF0000FF"/>
      <name val="Arial"/>
      <family val="2"/>
    </font>
    <font>
      <b val="true"/>
      <sz val="10"/>
      <color rgb="FF0000FF"/>
      <name val="Arial"/>
      <family val="2"/>
    </font>
    <font>
      <sz val="10"/>
      <color rgb="FF000000"/>
      <name val="Arial"/>
      <family val="2"/>
    </font>
    <font>
      <b val="true"/>
      <sz val="10"/>
      <color rgb="FF000000"/>
      <name val="Arial"/>
      <family val="2"/>
    </font>
    <font>
      <b val="true"/>
      <u val="single"/>
      <sz val="10"/>
      <color rgb="FF0000FF"/>
      <name val="Arial"/>
      <family val="2"/>
    </font>
    <font>
      <b val="true"/>
      <sz val="10"/>
      <color rgb="FFFF3333"/>
      <name val="Arial"/>
      <family val="2"/>
    </font>
    <font>
      <b val="true"/>
      <sz val="11"/>
      <color rgb="FF0000FF"/>
      <name val="Arial"/>
      <family val="2"/>
    </font>
    <font>
      <sz val="20"/>
      <name val="Arial"/>
      <family val="2"/>
    </font>
    <font>
      <b val="true"/>
      <sz val="10"/>
      <color rgb="FF0000CC"/>
      <name val="Arial"/>
      <family val="2"/>
    </font>
    <font>
      <sz val="20"/>
      <color rgb="FF000000"/>
      <name val="Arial"/>
      <family val="2"/>
    </font>
    <font>
      <b val="true"/>
      <sz val="12"/>
      <color rgb="FF000000"/>
      <name val="Arial"/>
      <family val="2"/>
    </font>
    <font>
      <b val="true"/>
      <sz val="12"/>
      <color rgb="FF0000FF"/>
      <name val="Arial"/>
      <family val="2"/>
    </font>
    <font>
      <sz val="8"/>
      <color rgb="FFFFFFFF"/>
      <name val="Arial"/>
      <family val="2"/>
    </font>
    <font>
      <b val="true"/>
      <sz val="25"/>
      <color rgb="FFFF3333"/>
      <name val="Arial"/>
      <family val="2"/>
    </font>
    <font>
      <sz val="14"/>
      <name val="Arial"/>
      <family val="2"/>
    </font>
    <font>
      <sz val="8"/>
      <name val="Arial"/>
      <family val="2"/>
    </font>
    <font>
      <b val="true"/>
      <sz val="8"/>
      <name val="Arial"/>
      <family val="2"/>
    </font>
    <font>
      <b val="true"/>
      <sz val="8"/>
      <color rgb="FF0000FF"/>
      <name val="Arial"/>
      <family val="2"/>
    </font>
    <font>
      <sz val="8"/>
      <color rgb="FF000000"/>
      <name val="Arial"/>
      <family val="2"/>
    </font>
    <font>
      <i val="true"/>
      <sz val="8"/>
      <name val="Arial"/>
      <family val="2"/>
    </font>
    <font>
      <i val="true"/>
      <sz val="8"/>
      <color rgb="FF000000"/>
      <name val="Arial"/>
      <family val="2"/>
    </font>
    <font>
      <b val="true"/>
      <sz val="8"/>
      <color rgb="FF000000"/>
      <name val="Arial"/>
      <family val="2"/>
    </font>
    <font>
      <sz val="10"/>
      <color rgb="FFFF420E"/>
      <name val="Arial"/>
      <family val="2"/>
    </font>
    <font>
      <sz val="6"/>
      <name val="Arial"/>
      <family val="2"/>
    </font>
    <font>
      <sz val="10"/>
      <color rgb="FFFFD320"/>
      <name val="Arial"/>
      <family val="2"/>
    </font>
    <font>
      <b val="true"/>
      <sz val="10"/>
      <color rgb="FFFFD320"/>
      <name val="Arial"/>
      <family val="2"/>
    </font>
    <font>
      <i val="true"/>
      <sz val="10"/>
      <name val="Arial"/>
      <family val="2"/>
    </font>
    <font>
      <sz val="8"/>
      <color rgb="FFFF420E"/>
      <name val="Arial"/>
      <family val="2"/>
    </font>
  </fonts>
  <fills count="19">
    <fill>
      <patternFill patternType="none"/>
    </fill>
    <fill>
      <patternFill patternType="gray125"/>
    </fill>
    <fill>
      <patternFill patternType="solid">
        <fgColor rgb="FFFFCCFF"/>
        <bgColor rgb="FFDDDDDD"/>
      </patternFill>
    </fill>
    <fill>
      <patternFill patternType="solid">
        <fgColor rgb="FFFFFF99"/>
        <bgColor rgb="FFEEEEEE"/>
      </patternFill>
    </fill>
    <fill>
      <patternFill patternType="solid">
        <fgColor rgb="FFCCFFFF"/>
        <bgColor rgb="FFCCFFCC"/>
      </patternFill>
    </fill>
    <fill>
      <patternFill patternType="solid">
        <fgColor rgb="FFCCFFCC"/>
        <bgColor rgb="FFCCFFFF"/>
      </patternFill>
    </fill>
    <fill>
      <patternFill patternType="solid">
        <fgColor rgb="FFE6E64C"/>
        <bgColor rgb="FFFFD320"/>
      </patternFill>
    </fill>
    <fill>
      <patternFill patternType="solid">
        <fgColor rgb="FFC0C0C0"/>
        <bgColor rgb="FFDDDDDD"/>
      </patternFill>
    </fill>
    <fill>
      <patternFill patternType="solid">
        <fgColor rgb="FFDDDDDD"/>
        <bgColor rgb="FFE6E6E6"/>
      </patternFill>
    </fill>
    <fill>
      <patternFill patternType="solid">
        <fgColor rgb="FFFFFFFF"/>
        <bgColor rgb="FFEEEEEE"/>
      </patternFill>
    </fill>
    <fill>
      <patternFill patternType="solid">
        <fgColor rgb="FFE6E6E6"/>
        <bgColor rgb="FFEEEEEE"/>
      </patternFill>
    </fill>
    <fill>
      <patternFill patternType="solid">
        <fgColor rgb="FFFFCC00"/>
        <bgColor rgb="FFFFD320"/>
      </patternFill>
    </fill>
    <fill>
      <patternFill patternType="solid">
        <fgColor rgb="FF99CCFF"/>
        <bgColor rgb="FFC0C0C0"/>
      </patternFill>
    </fill>
    <fill>
      <patternFill patternType="solid">
        <fgColor rgb="FF00DCFF"/>
        <bgColor rgb="FF00FFFF"/>
      </patternFill>
    </fill>
    <fill>
      <patternFill patternType="solid">
        <fgColor rgb="FFEEEEEE"/>
        <bgColor rgb="FFE6E6E6"/>
      </patternFill>
    </fill>
    <fill>
      <patternFill patternType="solid">
        <fgColor rgb="FF99FF66"/>
        <bgColor rgb="FFCCFFCC"/>
      </patternFill>
    </fill>
    <fill>
      <patternFill patternType="solid">
        <fgColor rgb="FF23FF23"/>
        <bgColor rgb="FF99FF66"/>
      </patternFill>
    </fill>
    <fill>
      <patternFill patternType="solid">
        <fgColor rgb="FF000000"/>
        <bgColor rgb="FF003300"/>
      </patternFill>
    </fill>
    <fill>
      <patternFill patternType="solid">
        <fgColor rgb="FFFFFF00"/>
        <bgColor rgb="FFE6E64C"/>
      </patternFill>
    </fill>
  </fills>
  <borders count="37">
    <border diagonalUp="false" diagonalDown="false">
      <left/>
      <right/>
      <top/>
      <bottom/>
      <diagonal/>
    </border>
    <border diagonalUp="false" diagonalDown="false">
      <left style="hair"/>
      <right style="hair"/>
      <top style="hair"/>
      <bottom/>
      <diagonal/>
    </border>
    <border diagonalUp="false" diagonalDown="false">
      <left style="hair"/>
      <right style="hair"/>
      <top style="hair"/>
      <bottom style="hair"/>
      <diagonal/>
    </border>
    <border diagonalUp="false" diagonalDown="false">
      <left style="hair"/>
      <right style="hair"/>
      <top/>
      <bottom/>
      <diagonal/>
    </border>
    <border diagonalUp="false" diagonalDown="false">
      <left style="hair"/>
      <right style="hair"/>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right/>
      <top style="hair"/>
      <bottom style="hair"/>
      <diagonal/>
    </border>
    <border diagonalUp="false" diagonalDown="false">
      <left style="hair"/>
      <right/>
      <top style="hair"/>
      <bottom/>
      <diagonal/>
    </border>
    <border diagonalUp="false" diagonalDown="false">
      <left/>
      <right style="hair"/>
      <top style="hair"/>
      <bottom/>
      <diagonal/>
    </border>
    <border diagonalUp="false" diagonalDown="false">
      <left style="hair"/>
      <right/>
      <top/>
      <bottom/>
      <diagonal/>
    </border>
    <border diagonalUp="false" diagonalDown="false">
      <left/>
      <right style="hair"/>
      <top/>
      <bottom/>
      <diagonal/>
    </border>
    <border diagonalUp="false" diagonalDown="false">
      <left style="hair"/>
      <right/>
      <top/>
      <bottom style="hair"/>
      <diagonal/>
    </border>
    <border diagonalUp="false" diagonalDown="false">
      <left/>
      <right/>
      <top/>
      <bottom style="hair"/>
      <diagonal/>
    </border>
    <border diagonalUp="false" diagonalDown="false">
      <left/>
      <right style="hair"/>
      <top/>
      <bottom style="hair"/>
      <diagonal/>
    </border>
    <border diagonalUp="false" diagonalDown="false">
      <left style="thick">
        <color rgb="FFFF0000"/>
      </left>
      <right style="thick">
        <color rgb="FFFF0000"/>
      </right>
      <top style="thick">
        <color rgb="FFFF0000"/>
      </top>
      <bottom style="thick">
        <color rgb="FFFF0000"/>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ck"/>
      <right style="thick"/>
      <top style="thick"/>
      <bottom style="hair"/>
      <diagonal/>
    </border>
    <border diagonalUp="false" diagonalDown="false">
      <left style="thick">
        <color rgb="FFFF0000"/>
      </left>
      <right style="thick">
        <color rgb="FFFF0000"/>
      </right>
      <top style="thick">
        <color rgb="FFFF0000"/>
      </top>
      <bottom/>
      <diagonal/>
    </border>
    <border diagonalUp="false" diagonalDown="false">
      <left style="thick"/>
      <right style="thick"/>
      <top style="hair"/>
      <bottom/>
      <diagonal/>
    </border>
    <border diagonalUp="false" diagonalDown="false">
      <left style="thick">
        <color rgb="FFFF0000"/>
      </left>
      <right style="thick">
        <color rgb="FFFF0000"/>
      </right>
      <top/>
      <bottom/>
      <diagonal/>
    </border>
    <border diagonalUp="false" diagonalDown="false">
      <left style="thick"/>
      <right style="thick"/>
      <top/>
      <bottom/>
      <diagonal/>
    </border>
    <border diagonalUp="false" diagonalDown="false">
      <left style="thick">
        <color rgb="FFFF0000"/>
      </left>
      <right style="thick">
        <color rgb="FFFF0000"/>
      </right>
      <top/>
      <bottom style="thick">
        <color rgb="FFFF0000"/>
      </bottom>
      <diagonal/>
    </border>
    <border diagonalUp="false" diagonalDown="false">
      <left style="thick"/>
      <right style="thick"/>
      <top/>
      <bottom style="thick"/>
      <diagonal/>
    </border>
    <border diagonalUp="false" diagonalDown="false">
      <left style="thin"/>
      <right style="thin"/>
      <top style="thin"/>
      <bottom style="thin"/>
      <diagonal/>
    </border>
    <border diagonalUp="false" diagonalDown="false">
      <left style="thick"/>
      <right/>
      <top style="thick"/>
      <bottom/>
      <diagonal/>
    </border>
    <border diagonalUp="false" diagonalDown="false">
      <left/>
      <right/>
      <top style="thick"/>
      <bottom/>
      <diagonal/>
    </border>
    <border diagonalUp="false" diagonalDown="false">
      <left/>
      <right style="thick"/>
      <top style="thick"/>
      <bottom/>
      <diagonal/>
    </border>
    <border diagonalUp="false" diagonalDown="false">
      <left style="thick"/>
      <right/>
      <top/>
      <bottom/>
      <diagonal/>
    </border>
    <border diagonalUp="false" diagonalDown="false">
      <left style="thick"/>
      <right style="thick"/>
      <top style="thick"/>
      <bottom style="thick"/>
      <diagonal/>
    </border>
  </borders>
  <cellStyleXfs count="2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9" fillId="0" borderId="0" applyFont="true" applyBorder="false" applyAlignment="false" applyProtection="false"/>
    <xf numFmtId="164" fontId="4" fillId="0" borderId="0" applyFont="true" applyBorder="false" applyAlignment="false" applyProtection="false"/>
    <xf numFmtId="165" fontId="4" fillId="0" borderId="0" applyFont="true" applyBorder="false" applyAlignment="false" applyProtection="false"/>
    <xf numFmtId="164" fontId="5" fillId="0" borderId="0" applyFont="true" applyBorder="false" applyAlignment="true" applyProtection="false">
      <alignment horizontal="center" vertical="bottom" textRotation="0" wrapText="false" indent="0" shrinkToFit="false"/>
    </xf>
    <xf numFmtId="164" fontId="5" fillId="0" borderId="0" applyFont="true" applyBorder="false" applyAlignment="true" applyProtection="false">
      <alignment horizontal="center" vertical="bottom" textRotation="90" wrapText="false" indent="0" shrinkToFit="false"/>
    </xf>
  </cellStyleXfs>
  <cellXfs count="434">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center" textRotation="0" wrapText="fals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fals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6" fillId="0" borderId="0" xfId="0" applyFont="true" applyBorder="false" applyAlignment="true" applyProtection="false">
      <alignment horizontal="general" vertical="top" textRotation="0" wrapText="false" indent="0" shrinkToFit="false"/>
      <protection locked="true" hidden="false"/>
    </xf>
    <xf numFmtId="164" fontId="6" fillId="0" borderId="0" xfId="0" applyFont="true" applyBorder="false" applyAlignment="true" applyProtection="true">
      <alignment horizontal="general" vertical="center" textRotation="0" wrapText="false" indent="0" shrinkToFit="false"/>
      <protection locked="true" hidden="false"/>
    </xf>
    <xf numFmtId="164" fontId="6" fillId="0" borderId="0" xfId="0" applyFont="true" applyBorder="false" applyAlignment="false" applyProtection="true">
      <alignment horizontal="general" vertical="bottom" textRotation="0" wrapText="false" indent="0" shrinkToFit="false"/>
      <protection locked="true" hidden="false"/>
    </xf>
    <xf numFmtId="164" fontId="8" fillId="0" borderId="0" xfId="20" applyFont="true" applyBorder="true" applyAlignment="tru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top" textRotation="0" wrapText="false" indent="0" shrinkToFit="false"/>
      <protection locked="true" hidden="false"/>
    </xf>
    <xf numFmtId="164" fontId="6"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top" textRotation="0" wrapText="false" indent="0" shrinkToFit="false"/>
      <protection locked="true" hidden="false"/>
    </xf>
    <xf numFmtId="164" fontId="11" fillId="0" borderId="0" xfId="0" applyFont="true" applyBorder="fals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true">
      <alignment horizontal="general" vertical="top" textRotation="0" wrapText="true" indent="0" shrinkToFit="false"/>
      <protection locked="true" hidden="false"/>
    </xf>
    <xf numFmtId="164" fontId="16" fillId="0" borderId="0" xfId="0" applyFont="true" applyBorder="false" applyAlignment="tru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left" vertical="bottom"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6" fillId="0" borderId="0" xfId="0" applyFont="true" applyBorder="true" applyAlignment="true" applyProtection="true">
      <alignment horizontal="left" vertical="bottom" textRotation="0" wrapText="false" indent="0" shrinkToFit="false"/>
      <protection locked="true" hidden="false"/>
    </xf>
    <xf numFmtId="164" fontId="16" fillId="0" borderId="0" xfId="0" applyFont="true" applyBorder="true" applyAlignment="false" applyProtection="true">
      <alignment horizontal="general" vertical="bottom" textRotation="0" wrapText="false" indent="0" shrinkToFit="false"/>
      <protection locked="true" hidden="false"/>
    </xf>
    <xf numFmtId="164" fontId="17" fillId="0" borderId="0" xfId="0" applyFont="true" applyBorder="true" applyAlignment="false" applyProtection="true">
      <alignment horizontal="general"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0" fillId="0" borderId="0" xfId="0" applyFont="true" applyBorder="false" applyAlignment="false" applyProtection="true">
      <alignment horizontal="general" vertical="bottom" textRotation="0" wrapText="false" indent="0" shrinkToFit="false"/>
      <protection locked="false" hidden="false"/>
    </xf>
    <xf numFmtId="164" fontId="18" fillId="0" borderId="0" xfId="0" applyFont="true" applyBorder="false" applyAlignment="false" applyProtection="true">
      <alignment horizontal="general" vertical="bottom" textRotation="0" wrapText="false" indent="0" shrinkToFit="false"/>
      <protection locked="true" hidden="false"/>
    </xf>
    <xf numFmtId="164" fontId="19" fillId="0" borderId="1" xfId="0" applyFont="true" applyBorder="true" applyAlignment="true" applyProtection="true">
      <alignment horizontal="center" vertical="center" textRotation="0" wrapText="false" indent="0" shrinkToFit="false"/>
      <protection locked="true" hidden="false"/>
    </xf>
    <xf numFmtId="164" fontId="18" fillId="0" borderId="2" xfId="0" applyFont="true" applyBorder="true" applyAlignment="true" applyProtection="true">
      <alignment horizontal="center" vertical="bottom" textRotation="0" wrapText="true" indent="0" shrinkToFit="false"/>
      <protection locked="true" hidden="false"/>
    </xf>
    <xf numFmtId="164" fontId="20" fillId="0" borderId="2" xfId="0" applyFont="true" applyBorder="true" applyAlignment="true" applyProtection="true">
      <alignment horizontal="center" vertical="bottom" textRotation="0" wrapText="true" indent="0" shrinkToFit="false"/>
      <protection locked="true" hidden="false"/>
    </xf>
    <xf numFmtId="164" fontId="21" fillId="0" borderId="2" xfId="0" applyFont="true" applyBorder="true" applyAlignment="true" applyProtection="true">
      <alignment horizontal="center" vertical="bottom" textRotation="0" wrapText="true" indent="0" shrinkToFit="false"/>
      <protection locked="true" hidden="false"/>
    </xf>
    <xf numFmtId="164" fontId="9" fillId="0" borderId="3" xfId="20" applyFont="true" applyBorder="true" applyAlignment="true" applyProtection="true">
      <alignment horizontal="center" vertical="bottom" textRotation="0" wrapText="false" indent="0" shrinkToFit="false"/>
      <protection locked="true" hidden="false"/>
    </xf>
    <xf numFmtId="166" fontId="0" fillId="0" borderId="2" xfId="0" applyFont="false" applyBorder="true" applyAlignment="false" applyProtection="true">
      <alignment horizontal="general" vertical="bottom" textRotation="0" wrapText="false" indent="0" shrinkToFit="false"/>
      <protection locked="true" hidden="false"/>
    </xf>
    <xf numFmtId="167" fontId="0" fillId="0" borderId="2" xfId="0" applyFont="false" applyBorder="true" applyAlignment="true" applyProtection="true">
      <alignment horizontal="center" vertical="bottom" textRotation="0" wrapText="false" indent="0" shrinkToFit="false"/>
      <protection locked="true" hidden="false"/>
    </xf>
    <xf numFmtId="168" fontId="0" fillId="0" borderId="0" xfId="0" applyFont="false" applyBorder="false" applyAlignment="false" applyProtection="true">
      <alignment horizontal="general" vertical="bottom" textRotation="0" wrapText="false" indent="0" shrinkToFit="false"/>
      <protection locked="true" hidden="false"/>
    </xf>
    <xf numFmtId="164" fontId="9" fillId="0" borderId="3" xfId="20" applyFont="false" applyBorder="true" applyAlignment="true" applyProtection="true">
      <alignment horizontal="center" vertical="bottom" textRotation="0" wrapText="false" indent="0" shrinkToFit="false"/>
      <protection locked="true" hidden="false"/>
    </xf>
    <xf numFmtId="164" fontId="0" fillId="0" borderId="0" xfId="0" applyFont="false" applyBorder="true" applyAlignment="false" applyProtection="true">
      <alignment horizontal="general" vertical="bottom" textRotation="0" wrapText="false" indent="0" shrinkToFit="false"/>
      <protection locked="true" hidden="false"/>
    </xf>
    <xf numFmtId="164" fontId="22" fillId="0" borderId="3" xfId="0" applyFont="true" applyBorder="true" applyAlignment="true" applyProtection="true">
      <alignment horizontal="center" vertical="bottom" textRotation="0" wrapText="false" indent="0" shrinkToFit="false"/>
      <protection locked="true" hidden="false"/>
    </xf>
    <xf numFmtId="166" fontId="0" fillId="0" borderId="0" xfId="0" applyFont="false" applyBorder="true" applyAlignment="false" applyProtection="true">
      <alignment horizontal="general" vertical="bottom" textRotation="0" wrapText="false" indent="0" shrinkToFit="false"/>
      <protection locked="true" hidden="false"/>
    </xf>
    <xf numFmtId="164" fontId="0" fillId="0" borderId="4" xfId="0" applyFont="false" applyBorder="true" applyAlignment="true" applyProtection="true">
      <alignment horizontal="center" vertical="bottom" textRotation="0" wrapText="false" indent="0" shrinkToFit="false"/>
      <protection locked="true" hidden="false"/>
    </xf>
    <xf numFmtId="164" fontId="7" fillId="0" borderId="0" xfId="0" applyFont="true" applyBorder="false" applyAlignment="false" applyProtection="true">
      <alignment horizontal="general" vertical="bottom" textRotation="0" wrapText="false" indent="0" shrinkToFit="false"/>
      <protection locked="true" hidden="false"/>
    </xf>
    <xf numFmtId="164" fontId="28" fillId="0" borderId="0" xfId="0" applyFont="true" applyBorder="false" applyAlignment="false" applyProtection="true">
      <alignment horizontal="general" vertical="bottom" textRotation="0" wrapText="false" indent="0" shrinkToFit="false"/>
      <protection locked="true" hidden="false"/>
    </xf>
    <xf numFmtId="164" fontId="7" fillId="0" borderId="0" xfId="0" applyFont="true" applyBorder="true" applyAlignment="false" applyProtection="true">
      <alignment horizontal="general" vertical="bottom" textRotation="0" wrapText="false" indent="0" shrinkToFit="false"/>
      <protection locked="true" hidden="false"/>
    </xf>
    <xf numFmtId="164" fontId="29" fillId="0" borderId="5" xfId="0" applyFont="true" applyBorder="true" applyAlignment="true" applyProtection="true">
      <alignment horizontal="center" vertical="center" textRotation="0" wrapText="false" indent="0" shrinkToFit="false"/>
      <protection locked="true" hidden="false"/>
    </xf>
    <xf numFmtId="164" fontId="7" fillId="0" borderId="5" xfId="0" applyFont="true" applyBorder="true" applyAlignment="false" applyProtection="true">
      <alignment horizontal="general" vertical="bottom" textRotation="0" wrapText="false" indent="0" shrinkToFit="false"/>
      <protection locked="true" hidden="false"/>
    </xf>
    <xf numFmtId="164" fontId="7" fillId="0" borderId="0" xfId="0" applyFont="true" applyBorder="true" applyAlignment="true" applyProtection="true">
      <alignment horizontal="center" vertical="bottom" textRotation="0" wrapText="false" indent="0" shrinkToFit="false"/>
      <protection locked="true" hidden="false"/>
    </xf>
    <xf numFmtId="164" fontId="30" fillId="0" borderId="6" xfId="0" applyFont="true" applyBorder="true" applyAlignment="false" applyProtection="true">
      <alignment horizontal="general" vertical="bottom" textRotation="0" wrapText="false" indent="0" shrinkToFit="false"/>
      <protection locked="false" hidden="false"/>
    </xf>
    <xf numFmtId="164" fontId="31" fillId="0" borderId="7" xfId="0" applyFont="true" applyBorder="true" applyAlignment="false" applyProtection="true">
      <alignment horizontal="general" vertical="bottom" textRotation="0" wrapText="false" indent="0" shrinkToFit="false"/>
      <protection locked="true" hidden="false"/>
    </xf>
    <xf numFmtId="164" fontId="7" fillId="0" borderId="2" xfId="0" applyFont="true" applyBorder="true" applyAlignment="false" applyProtection="true">
      <alignment horizontal="general" vertical="bottom" textRotation="0" wrapText="false" indent="0" shrinkToFit="false"/>
      <protection locked="true" hidden="false"/>
    </xf>
    <xf numFmtId="164" fontId="7" fillId="0" borderId="0" xfId="0" applyFont="true" applyBorder="true" applyAlignment="true" applyProtection="true">
      <alignment horizontal="general" vertical="top" textRotation="0" wrapText="false" indent="0" shrinkToFit="false"/>
      <protection locked="true" hidden="false"/>
    </xf>
    <xf numFmtId="164" fontId="7" fillId="0" borderId="0" xfId="0" applyFont="true" applyBorder="true" applyAlignment="fals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center" vertical="bottom" textRotation="0" wrapText="false" indent="0" shrinkToFit="false"/>
      <protection locked="true" hidden="false"/>
    </xf>
    <xf numFmtId="164" fontId="33" fillId="0" borderId="0" xfId="0" applyFont="true" applyBorder="true" applyAlignment="false" applyProtection="true">
      <alignment horizontal="general" vertical="bottom" textRotation="0" wrapText="false" indent="0" shrinkToFit="false"/>
      <protection locked="true" hidden="false"/>
    </xf>
    <xf numFmtId="164" fontId="32" fillId="2" borderId="2" xfId="0" applyFont="true" applyBorder="true" applyAlignment="false" applyProtection="true">
      <alignment horizontal="general" vertical="bottom" textRotation="0" wrapText="false" indent="0" shrinkToFit="false"/>
      <protection locked="true" hidden="false"/>
    </xf>
    <xf numFmtId="164" fontId="34" fillId="0" borderId="0" xfId="20" applyFont="true" applyBorder="true" applyAlignment="true" applyProtection="true">
      <alignment horizontal="center" vertical="bottom" textRotation="0" wrapText="false" indent="0" shrinkToFit="false"/>
      <protection locked="true" hidden="false"/>
    </xf>
    <xf numFmtId="164" fontId="35" fillId="3" borderId="2" xfId="0" applyFont="true" applyBorder="true" applyAlignment="false" applyProtection="true">
      <alignment horizontal="general" vertical="bottom" textRotation="0" wrapText="false" indent="0" shrinkToFit="false"/>
      <protection locked="false" hidden="false"/>
    </xf>
    <xf numFmtId="164" fontId="36" fillId="2" borderId="6" xfId="0" applyFont="true" applyBorder="true" applyAlignment="false" applyProtection="true">
      <alignment horizontal="general" vertical="bottom" textRotation="0" wrapText="false" indent="0" shrinkToFit="false"/>
      <protection locked="true" hidden="false"/>
    </xf>
    <xf numFmtId="164" fontId="36" fillId="2" borderId="8" xfId="0" applyFont="true" applyBorder="true" applyAlignment="false" applyProtection="true">
      <alignment horizontal="general" vertical="bottom" textRotation="0" wrapText="false" indent="0" shrinkToFit="false"/>
      <protection locked="true" hidden="false"/>
    </xf>
    <xf numFmtId="164" fontId="7" fillId="0" borderId="8" xfId="0" applyFont="true" applyBorder="true" applyAlignment="false" applyProtection="true">
      <alignment horizontal="general" vertical="bottom" textRotation="0" wrapText="false" indent="0" shrinkToFit="false"/>
      <protection locked="true" hidden="false"/>
    </xf>
    <xf numFmtId="164" fontId="7" fillId="0" borderId="7" xfId="0" applyFont="true" applyBorder="true" applyAlignment="false" applyProtection="true">
      <alignment horizontal="general" vertical="bottom" textRotation="0" wrapText="false" indent="0" shrinkToFit="false"/>
      <protection locked="true" hidden="false"/>
    </xf>
    <xf numFmtId="164" fontId="7" fillId="0" borderId="6" xfId="0" applyFont="true" applyBorder="true" applyAlignment="false" applyProtection="true">
      <alignment horizontal="general" vertical="bottom" textRotation="0" wrapText="false" indent="0" shrinkToFit="false"/>
      <protection locked="true" hidden="false"/>
    </xf>
    <xf numFmtId="164" fontId="32" fillId="0" borderId="2" xfId="0" applyFont="true" applyBorder="true" applyAlignment="false" applyProtection="true">
      <alignment horizontal="general" vertical="bottom" textRotation="0" wrapText="false" indent="0" shrinkToFit="false"/>
      <protection locked="true" hidden="false"/>
    </xf>
    <xf numFmtId="164" fontId="7" fillId="0" borderId="2" xfId="0" applyFont="true" applyBorder="true" applyAlignment="true" applyProtection="true">
      <alignment horizontal="center" vertical="bottom" textRotation="0" wrapText="false" indent="0" shrinkToFit="false"/>
      <protection locked="true" hidden="false"/>
    </xf>
    <xf numFmtId="164" fontId="7" fillId="2" borderId="6" xfId="0" applyFont="true" applyBorder="true" applyAlignment="false" applyProtection="true">
      <alignment horizontal="general" vertical="bottom" textRotation="0" wrapText="false" indent="0" shrinkToFit="false"/>
      <protection locked="true" hidden="false"/>
    </xf>
    <xf numFmtId="164" fontId="7" fillId="2" borderId="8" xfId="0" applyFont="true" applyBorder="true" applyAlignment="false" applyProtection="true">
      <alignment horizontal="general" vertical="bottom" textRotation="0" wrapText="false" indent="0" shrinkToFit="false"/>
      <protection locked="true" hidden="false"/>
    </xf>
    <xf numFmtId="164" fontId="35" fillId="0" borderId="2" xfId="0" applyFont="true" applyBorder="true" applyAlignment="false" applyProtection="true">
      <alignment horizontal="general" vertical="bottom" textRotation="0" wrapText="false" indent="0" shrinkToFit="false"/>
      <protection locked="true" hidden="false"/>
    </xf>
    <xf numFmtId="164" fontId="7" fillId="0" borderId="6" xfId="0" applyFont="true" applyBorder="true" applyAlignment="false" applyProtection="true">
      <alignment horizontal="general" vertical="bottom" textRotation="0" wrapText="false" indent="0" shrinkToFit="false"/>
      <protection locked="true" hidden="false"/>
    </xf>
    <xf numFmtId="164" fontId="7" fillId="0" borderId="8" xfId="0" applyFont="true" applyBorder="true" applyAlignment="false" applyProtection="true">
      <alignment horizontal="general" vertical="bottom" textRotation="0" wrapText="false" indent="0" shrinkToFit="false"/>
      <protection locked="true" hidden="false"/>
    </xf>
    <xf numFmtId="164" fontId="35" fillId="0" borderId="0" xfId="0" applyFont="true" applyBorder="true" applyAlignment="false" applyProtection="true">
      <alignment horizontal="general" vertical="bottom" textRotation="0" wrapText="false" indent="0" shrinkToFit="false"/>
      <protection locked="true" hidden="false"/>
    </xf>
    <xf numFmtId="164" fontId="7" fillId="2" borderId="9" xfId="0" applyFont="true" applyBorder="true" applyAlignment="true" applyProtection="true">
      <alignment horizontal="left" vertical="bottom" textRotation="0" wrapText="false" indent="0" shrinkToFit="false"/>
      <protection locked="true" hidden="false"/>
    </xf>
    <xf numFmtId="164" fontId="7" fillId="2" borderId="5" xfId="0" applyFont="true" applyBorder="true" applyAlignment="false" applyProtection="true">
      <alignment horizontal="general" vertical="bottom" textRotation="0" wrapText="false" indent="0" shrinkToFit="false"/>
      <protection locked="true" hidden="false"/>
    </xf>
    <xf numFmtId="164" fontId="7" fillId="2" borderId="10" xfId="0" applyFont="true" applyBorder="true" applyAlignment="false" applyProtection="true">
      <alignment horizontal="general" vertical="bottom" textRotation="0" wrapText="false" indent="0" shrinkToFit="false"/>
      <protection locked="true" hidden="false"/>
    </xf>
    <xf numFmtId="164" fontId="32" fillId="0" borderId="0" xfId="0" applyFont="true" applyBorder="true" applyAlignment="false" applyProtection="true">
      <alignment horizontal="general" vertical="bottom" textRotation="0" wrapText="false" indent="0" shrinkToFit="false"/>
      <protection locked="true" hidden="false"/>
    </xf>
    <xf numFmtId="164" fontId="7" fillId="2" borderId="11" xfId="0" applyFont="true" applyBorder="true" applyAlignment="false" applyProtection="false">
      <alignment horizontal="general" vertical="bottom" textRotation="0" wrapText="false" indent="0" shrinkToFit="false"/>
      <protection locked="true" hidden="false"/>
    </xf>
    <xf numFmtId="164" fontId="7" fillId="2" borderId="0" xfId="0" applyFont="true" applyBorder="true" applyAlignment="false" applyProtection="true">
      <alignment horizontal="general" vertical="bottom" textRotation="0" wrapText="false" indent="0" shrinkToFit="false"/>
      <protection locked="true" hidden="false"/>
    </xf>
    <xf numFmtId="164" fontId="7" fillId="2" borderId="12" xfId="0" applyFont="true" applyBorder="true" applyAlignment="false" applyProtection="true">
      <alignment horizontal="general" vertical="bottom" textRotation="0" wrapText="false" indent="0" shrinkToFit="false"/>
      <protection locked="true" hidden="false"/>
    </xf>
    <xf numFmtId="164" fontId="7" fillId="2" borderId="13" xfId="0" applyFont="true" applyBorder="true" applyAlignment="false" applyProtection="true">
      <alignment horizontal="general" vertical="bottom" textRotation="0" wrapText="false" indent="0" shrinkToFit="false"/>
      <protection locked="true" hidden="false"/>
    </xf>
    <xf numFmtId="164" fontId="7" fillId="2" borderId="14" xfId="0" applyFont="true" applyBorder="true" applyAlignment="false" applyProtection="true">
      <alignment horizontal="general" vertical="bottom" textRotation="0" wrapText="false" indent="0" shrinkToFit="false"/>
      <protection locked="true" hidden="false"/>
    </xf>
    <xf numFmtId="164" fontId="7" fillId="2" borderId="15" xfId="0" applyFont="true" applyBorder="true" applyAlignment="false" applyProtection="true">
      <alignment horizontal="general" vertical="bottom" textRotation="0" wrapText="false" indent="0" shrinkToFit="false"/>
      <protection locked="true" hidden="false"/>
    </xf>
    <xf numFmtId="164" fontId="37" fillId="0" borderId="2" xfId="0" applyFont="true" applyBorder="true" applyAlignment="true" applyProtection="true">
      <alignment horizontal="center" vertical="bottom" textRotation="0" wrapText="false" indent="0" shrinkToFit="false"/>
      <protection locked="true" hidden="false"/>
    </xf>
    <xf numFmtId="164" fontId="36" fillId="0" borderId="2" xfId="0" applyFont="true" applyBorder="true" applyAlignment="true" applyProtection="true">
      <alignment horizontal="center" vertical="bottom" textRotation="0" wrapText="false" indent="0" shrinkToFit="false"/>
      <protection locked="true" hidden="false"/>
    </xf>
    <xf numFmtId="164" fontId="36" fillId="0" borderId="6" xfId="0" applyFont="true" applyBorder="true" applyAlignment="true" applyProtection="true">
      <alignment horizontal="center" vertical="bottom" textRotation="0" wrapText="false" indent="0" shrinkToFit="false"/>
      <protection locked="true" hidden="false"/>
    </xf>
    <xf numFmtId="164" fontId="36" fillId="0" borderId="8" xfId="0" applyFont="true" applyBorder="true" applyAlignment="true" applyProtection="true">
      <alignment horizontal="center" vertical="bottom" textRotation="0" wrapText="false" indent="0" shrinkToFit="false"/>
      <protection locked="true" hidden="false"/>
    </xf>
    <xf numFmtId="164" fontId="36" fillId="0" borderId="8" xfId="0" applyFont="true" applyBorder="true" applyAlignment="true" applyProtection="true">
      <alignment horizontal="center" vertical="bottom" textRotation="0" wrapText="false" indent="0" shrinkToFit="false"/>
      <protection locked="true" hidden="false"/>
    </xf>
    <xf numFmtId="164" fontId="32" fillId="4" borderId="2" xfId="0" applyFont="true" applyBorder="true" applyAlignment="true" applyProtection="true">
      <alignment horizontal="center" vertical="bottom" textRotation="0" wrapText="false" indent="0" shrinkToFit="false"/>
      <protection locked="true" hidden="false"/>
    </xf>
    <xf numFmtId="164" fontId="32" fillId="5" borderId="2" xfId="0" applyFont="true" applyBorder="true" applyAlignment="true" applyProtection="true">
      <alignment horizontal="center" vertical="bottom" textRotation="0" wrapText="false" indent="0" shrinkToFit="false"/>
      <protection locked="true" hidden="false"/>
    </xf>
    <xf numFmtId="164" fontId="32" fillId="4" borderId="6" xfId="0" applyFont="true" applyBorder="true" applyAlignment="true" applyProtection="true">
      <alignment horizontal="center" vertical="bottom" textRotation="0" wrapText="false" indent="0" shrinkToFit="false"/>
      <protection locked="true" hidden="false"/>
    </xf>
    <xf numFmtId="164" fontId="32" fillId="5" borderId="6" xfId="0" applyFont="true" applyBorder="true" applyAlignment="true" applyProtection="true">
      <alignment horizontal="center" vertical="bottom" textRotation="0" wrapText="false" indent="0" shrinkToFit="false"/>
      <protection locked="true" hidden="false"/>
    </xf>
    <xf numFmtId="164" fontId="7" fillId="0" borderId="9" xfId="0" applyFont="true" applyBorder="true" applyAlignment="false" applyProtection="true">
      <alignment horizontal="general" vertical="bottom" textRotation="0" wrapText="false" indent="0" shrinkToFit="false"/>
      <protection locked="true" hidden="false"/>
    </xf>
    <xf numFmtId="164" fontId="7" fillId="0" borderId="10" xfId="0" applyFont="true" applyBorder="true" applyAlignment="true" applyProtection="true">
      <alignment horizontal="right" vertical="bottom" textRotation="0" wrapText="false" indent="0" shrinkToFit="false"/>
      <protection locked="true" hidden="false"/>
    </xf>
    <xf numFmtId="169" fontId="35" fillId="3" borderId="2" xfId="0" applyFont="true" applyBorder="true" applyAlignment="false" applyProtection="true">
      <alignment horizontal="general" vertical="bottom" textRotation="0" wrapText="false" indent="0" shrinkToFit="false"/>
      <protection locked="false" hidden="false"/>
    </xf>
    <xf numFmtId="169" fontId="7" fillId="5" borderId="2" xfId="0" applyFont="true" applyBorder="true" applyAlignment="false" applyProtection="true">
      <alignment horizontal="general" vertical="bottom" textRotation="0" wrapText="false" indent="0" shrinkToFit="false"/>
      <protection locked="true" hidden="false"/>
    </xf>
    <xf numFmtId="169" fontId="7" fillId="4" borderId="2" xfId="0" applyFont="true" applyBorder="true" applyAlignment="false" applyProtection="true">
      <alignment horizontal="general" vertical="bottom" textRotation="0" wrapText="false" indent="0" shrinkToFit="false"/>
      <protection locked="true" hidden="false"/>
    </xf>
    <xf numFmtId="164" fontId="7" fillId="0" borderId="13" xfId="0" applyFont="true" applyBorder="true" applyAlignment="false" applyProtection="true">
      <alignment horizontal="general" vertical="bottom" textRotation="0" wrapText="false" indent="0" shrinkToFit="false"/>
      <protection locked="true" hidden="false"/>
    </xf>
    <xf numFmtId="164" fontId="7" fillId="0" borderId="15" xfId="0" applyFont="true" applyBorder="true" applyAlignment="true" applyProtection="true">
      <alignment horizontal="right" vertical="bottom" textRotation="0" wrapText="false" indent="0" shrinkToFit="false"/>
      <protection locked="true" hidden="false"/>
    </xf>
    <xf numFmtId="167" fontId="35" fillId="3" borderId="2" xfId="0" applyFont="true" applyBorder="true" applyAlignment="false" applyProtection="true">
      <alignment horizontal="general" vertical="bottom" textRotation="0" wrapText="false" indent="0" shrinkToFit="false"/>
      <protection locked="false" hidden="false"/>
    </xf>
    <xf numFmtId="167" fontId="35" fillId="3" borderId="6" xfId="0" applyFont="true" applyBorder="true" applyAlignment="false" applyProtection="true">
      <alignment horizontal="general" vertical="bottom" textRotation="0" wrapText="false" indent="0" shrinkToFit="false"/>
      <protection locked="false" hidden="false"/>
    </xf>
    <xf numFmtId="167" fontId="35" fillId="3" borderId="8" xfId="0" applyFont="true" applyBorder="true" applyAlignment="false" applyProtection="true">
      <alignment horizontal="general" vertical="bottom" textRotation="0" wrapText="false" indent="0" shrinkToFit="false"/>
      <protection locked="false" hidden="false"/>
    </xf>
    <xf numFmtId="167" fontId="35" fillId="3" borderId="7" xfId="0" applyFont="true" applyBorder="true" applyAlignment="false" applyProtection="true">
      <alignment horizontal="general" vertical="bottom" textRotation="0" wrapText="false" indent="0" shrinkToFit="false"/>
      <protection locked="false" hidden="false"/>
    </xf>
    <xf numFmtId="164" fontId="7" fillId="0" borderId="6" xfId="0" applyFont="true" applyBorder="true" applyAlignment="false" applyProtection="false">
      <alignment horizontal="general" vertical="bottom" textRotation="0" wrapText="false" indent="0" shrinkToFit="false"/>
      <protection locked="true" hidden="false"/>
    </xf>
    <xf numFmtId="164" fontId="7" fillId="0" borderId="7" xfId="0" applyFont="true" applyBorder="true" applyAlignment="true" applyProtection="true">
      <alignment horizontal="right" vertical="bottom" textRotation="0" wrapText="false" indent="0" shrinkToFit="false"/>
      <protection locked="true" hidden="false"/>
    </xf>
    <xf numFmtId="164" fontId="7" fillId="0" borderId="0" xfId="0" applyFont="true" applyBorder="true" applyAlignment="true" applyProtection="true">
      <alignment horizontal="right" vertical="bottom" textRotation="0" wrapText="false" indent="0" shrinkToFit="false"/>
      <protection locked="true" hidden="false"/>
    </xf>
    <xf numFmtId="169" fontId="7" fillId="0" borderId="0" xfId="0" applyFont="true" applyBorder="true" applyAlignment="false" applyProtection="true">
      <alignment horizontal="general" vertical="bottom" textRotation="0" wrapText="false" indent="0" shrinkToFit="false"/>
      <protection locked="true" hidden="false"/>
    </xf>
    <xf numFmtId="164" fontId="7" fillId="0" borderId="0" xfId="0" applyFont="true" applyBorder="false" applyAlignment="false" applyProtection="true">
      <alignment horizontal="general" vertical="bottom" textRotation="0" wrapText="false" indent="0" shrinkToFit="false"/>
      <protection locked="true" hidden="false"/>
    </xf>
    <xf numFmtId="164" fontId="7" fillId="0" borderId="0" xfId="0" applyFont="true" applyBorder="true" applyAlignment="true" applyProtection="true">
      <alignment horizontal="right" vertical="bottom" textRotation="0" wrapText="false" indent="0" shrinkToFit="false"/>
      <protection locked="true" hidden="false"/>
    </xf>
    <xf numFmtId="164" fontId="33" fillId="0" borderId="0" xfId="0" applyFont="true" applyBorder="true" applyAlignment="true" applyProtection="true">
      <alignment horizontal="left" vertical="bottom" textRotation="0" wrapText="false" indent="0" shrinkToFit="false"/>
      <protection locked="true" hidden="false"/>
    </xf>
    <xf numFmtId="169" fontId="7" fillId="2" borderId="9" xfId="0" applyFont="true" applyBorder="true" applyAlignment="false" applyProtection="true">
      <alignment horizontal="general" vertical="bottom" textRotation="0" wrapText="false" indent="0" shrinkToFit="false"/>
      <protection locked="true" hidden="false"/>
    </xf>
    <xf numFmtId="164" fontId="7" fillId="2" borderId="5" xfId="0" applyFont="true" applyBorder="true" applyAlignment="true" applyProtection="true">
      <alignment horizontal="right" vertical="bottom" textRotation="0" wrapText="false" indent="0" shrinkToFit="false"/>
      <protection locked="true" hidden="false"/>
    </xf>
    <xf numFmtId="169" fontId="7" fillId="2" borderId="5" xfId="0" applyFont="true" applyBorder="true" applyAlignment="false" applyProtection="true">
      <alignment horizontal="general" vertical="bottom" textRotation="0" wrapText="false" indent="0" shrinkToFit="false"/>
      <protection locked="true" hidden="false"/>
    </xf>
    <xf numFmtId="169" fontId="7" fillId="2" borderId="10" xfId="0" applyFont="true" applyBorder="true" applyAlignment="false" applyProtection="true">
      <alignment horizontal="general" vertical="bottom" textRotation="0" wrapText="false" indent="0" shrinkToFit="false"/>
      <protection locked="true" hidden="false"/>
    </xf>
    <xf numFmtId="169" fontId="7" fillId="2" borderId="13" xfId="0" applyFont="true" applyBorder="true" applyAlignment="false" applyProtection="true">
      <alignment horizontal="general" vertical="bottom" textRotation="0" wrapText="false" indent="0" shrinkToFit="false"/>
      <protection locked="true" hidden="false"/>
    </xf>
    <xf numFmtId="164" fontId="7" fillId="0" borderId="14" xfId="0" applyFont="true" applyBorder="true" applyAlignment="false" applyProtection="false">
      <alignment horizontal="general" vertical="bottom" textRotation="0" wrapText="false" indent="0" shrinkToFit="false"/>
      <protection locked="true" hidden="false"/>
    </xf>
    <xf numFmtId="169" fontId="7" fillId="2" borderId="14" xfId="0" applyFont="true" applyBorder="true" applyAlignment="false" applyProtection="true">
      <alignment horizontal="general" vertical="bottom" textRotation="0" wrapText="false" indent="0" shrinkToFit="false"/>
      <protection locked="true" hidden="false"/>
    </xf>
    <xf numFmtId="169" fontId="7" fillId="2" borderId="15" xfId="0" applyFont="true" applyBorder="true" applyAlignment="false" applyProtection="true">
      <alignment horizontal="general" vertical="bottom" textRotation="0" wrapText="false" indent="0" shrinkToFit="false"/>
      <protection locked="true" hidden="false"/>
    </xf>
    <xf numFmtId="164" fontId="16" fillId="0" borderId="14" xfId="0" applyFont="true" applyBorder="true" applyAlignment="true" applyProtection="true">
      <alignment horizontal="left" vertical="bottom" textRotation="0" wrapText="false" indent="0" shrinkToFit="false"/>
      <protection locked="true" hidden="false"/>
    </xf>
    <xf numFmtId="169" fontId="7" fillId="0" borderId="2" xfId="0" applyFont="true" applyBorder="true" applyAlignment="true" applyProtection="true">
      <alignment horizontal="center" vertical="bottom" textRotation="0" wrapText="false" indent="0" shrinkToFit="false"/>
      <protection locked="true" hidden="false"/>
    </xf>
    <xf numFmtId="164" fontId="35" fillId="0" borderId="2" xfId="0" applyFont="true" applyBorder="true" applyAlignment="true" applyProtection="true">
      <alignment horizontal="center" vertical="bottom" textRotation="0" wrapText="false" indent="0" shrinkToFit="false"/>
      <protection locked="false" hidden="false"/>
    </xf>
    <xf numFmtId="170" fontId="35" fillId="0" borderId="2" xfId="0" applyFont="true" applyBorder="true" applyAlignment="true" applyProtection="true">
      <alignment horizontal="center" vertical="bottom" textRotation="0" wrapText="false" indent="0" shrinkToFit="false"/>
      <protection locked="false" hidden="false"/>
    </xf>
    <xf numFmtId="170" fontId="38" fillId="0" borderId="2" xfId="0" applyFont="true" applyBorder="true" applyAlignment="true" applyProtection="true">
      <alignment horizontal="center" vertical="bottom" textRotation="0" wrapText="false" indent="0" shrinkToFit="false"/>
      <protection locked="false" hidden="false"/>
    </xf>
    <xf numFmtId="164" fontId="39" fillId="0" borderId="2" xfId="0" applyFont="true" applyBorder="true" applyAlignment="true" applyProtection="true">
      <alignment horizontal="right" vertical="bottom" textRotation="0" wrapText="false" indent="0" shrinkToFit="false"/>
      <protection locked="true" hidden="false"/>
    </xf>
    <xf numFmtId="171" fontId="7" fillId="0" borderId="2" xfId="0" applyFont="true" applyBorder="true" applyAlignment="false" applyProtection="true">
      <alignment horizontal="general" vertical="bottom" textRotation="0" wrapText="false" indent="0" shrinkToFit="false"/>
      <protection locked="true" hidden="false"/>
    </xf>
    <xf numFmtId="167" fontId="35" fillId="3" borderId="2" xfId="0" applyFont="true" applyBorder="true" applyAlignment="false" applyProtection="true">
      <alignment horizontal="general" vertical="bottom" textRotation="0" wrapText="false" indent="0" shrinkToFit="false"/>
      <protection locked="true" hidden="false"/>
    </xf>
    <xf numFmtId="164" fontId="32" fillId="0" borderId="7" xfId="0" applyFont="true" applyBorder="true" applyAlignment="true" applyProtection="true">
      <alignment horizontal="right" vertical="bottom" textRotation="0" wrapText="false" indent="0" shrinkToFit="false"/>
      <protection locked="true" hidden="false"/>
    </xf>
    <xf numFmtId="167" fontId="37" fillId="3" borderId="2" xfId="0" applyFont="true" applyBorder="true" applyAlignment="false" applyProtection="true">
      <alignment horizontal="general" vertical="bottom" textRotation="0" wrapText="false" indent="0" shrinkToFit="false"/>
      <protection locked="true" hidden="false"/>
    </xf>
    <xf numFmtId="164" fontId="36" fillId="0" borderId="0" xfId="0" applyFont="true" applyBorder="true" applyAlignment="true" applyProtection="true">
      <alignment horizontal="right" vertical="bottom" textRotation="0" wrapText="false" indent="0" shrinkToFit="false"/>
      <protection locked="true" hidden="false"/>
    </xf>
    <xf numFmtId="167" fontId="35" fillId="0" borderId="0" xfId="0" applyFont="true" applyBorder="true" applyAlignment="false" applyProtection="true">
      <alignment horizontal="general" vertical="bottom" textRotation="0" wrapText="false" indent="0" shrinkToFit="false"/>
      <protection locked="true" hidden="false"/>
    </xf>
    <xf numFmtId="164" fontId="33" fillId="0" borderId="0" xfId="0" applyFont="true" applyBorder="true" applyAlignment="true" applyProtection="true">
      <alignment horizontal="left" vertical="bottom" textRotation="0" wrapText="false" indent="0" shrinkToFit="false"/>
      <protection locked="true" hidden="false"/>
    </xf>
    <xf numFmtId="164" fontId="32" fillId="0" borderId="0" xfId="0" applyFont="true" applyBorder="true" applyAlignment="true" applyProtection="true">
      <alignment horizontal="right" vertical="bottom" textRotation="0" wrapText="false" indent="0" shrinkToFit="false"/>
      <protection locked="true" hidden="false"/>
    </xf>
    <xf numFmtId="172" fontId="32" fillId="4" borderId="2" xfId="0" applyFont="true" applyBorder="true" applyAlignment="false" applyProtection="true">
      <alignment horizontal="general" vertical="bottom" textRotation="0" wrapText="false" indent="0" shrinkToFit="false"/>
      <protection locked="true" hidden="false"/>
    </xf>
    <xf numFmtId="172" fontId="32" fillId="5" borderId="2" xfId="0" applyFont="true" applyBorder="true" applyAlignment="false" applyProtection="true">
      <alignment horizontal="general" vertical="bottom" textRotation="0" wrapText="false" indent="0" shrinkToFit="false"/>
      <protection locked="true" hidden="false"/>
    </xf>
    <xf numFmtId="172" fontId="32" fillId="4" borderId="6" xfId="0" applyFont="true" applyBorder="true" applyAlignment="false" applyProtection="true">
      <alignment horizontal="general" vertical="bottom" textRotation="0" wrapText="false" indent="0" shrinkToFit="false"/>
      <protection locked="true" hidden="false"/>
    </xf>
    <xf numFmtId="172" fontId="32" fillId="5" borderId="8" xfId="0" applyFont="true" applyBorder="true" applyAlignment="false" applyProtection="true">
      <alignment horizontal="general" vertical="bottom" textRotation="0" wrapText="false" indent="0" shrinkToFit="false"/>
      <protection locked="true" hidden="false"/>
    </xf>
    <xf numFmtId="172" fontId="32" fillId="4" borderId="8" xfId="0" applyFont="true" applyBorder="true" applyAlignment="false" applyProtection="true">
      <alignment horizontal="general" vertical="bottom" textRotation="0" wrapText="false" indent="0" shrinkToFit="false"/>
      <protection locked="true" hidden="false"/>
    </xf>
    <xf numFmtId="172" fontId="32" fillId="5" borderId="7" xfId="0" applyFont="true" applyBorder="true" applyAlignment="false" applyProtection="true">
      <alignment horizontal="general" vertical="bottom" textRotation="0" wrapText="false" indent="0" shrinkToFit="false"/>
      <protection locked="true" hidden="false"/>
    </xf>
    <xf numFmtId="164" fontId="7" fillId="3" borderId="6" xfId="0" applyFont="true" applyBorder="true" applyAlignment="false" applyProtection="true">
      <alignment horizontal="general" vertical="bottom" textRotation="0" wrapText="false" indent="0" shrinkToFit="false"/>
      <protection locked="true" hidden="false"/>
    </xf>
    <xf numFmtId="164" fontId="7" fillId="3" borderId="7" xfId="0" applyFont="true" applyBorder="true" applyAlignment="true" applyProtection="true">
      <alignment horizontal="right" vertical="bottom" textRotation="0" wrapText="false" indent="0" shrinkToFit="false"/>
      <protection locked="true" hidden="false"/>
    </xf>
    <xf numFmtId="169" fontId="7" fillId="4" borderId="1" xfId="0" applyFont="true" applyBorder="true" applyAlignment="false" applyProtection="true">
      <alignment horizontal="general" vertical="bottom" textRotation="0" wrapText="false" indent="0" shrinkToFit="false"/>
      <protection locked="true" hidden="false"/>
    </xf>
    <xf numFmtId="164" fontId="40" fillId="3" borderId="16" xfId="0" applyFont="true" applyBorder="true" applyAlignment="false" applyProtection="true">
      <alignment horizontal="general" vertical="bottom" textRotation="0" wrapText="false" indent="0" shrinkToFit="false"/>
      <protection locked="false" hidden="false"/>
    </xf>
    <xf numFmtId="169" fontId="7" fillId="5" borderId="7" xfId="0" applyFont="true" applyBorder="true" applyAlignment="false" applyProtection="true">
      <alignment horizontal="general" vertical="bottom" textRotation="0" wrapText="false" indent="0" shrinkToFit="false"/>
      <protection locked="true" hidden="false"/>
    </xf>
    <xf numFmtId="169" fontId="7" fillId="4" borderId="6" xfId="0" applyFont="true" applyBorder="true" applyAlignment="false" applyProtection="true">
      <alignment horizontal="general" vertical="bottom" textRotation="0" wrapText="false" indent="0" shrinkToFit="false"/>
      <protection locked="true" hidden="false"/>
    </xf>
    <xf numFmtId="169" fontId="7" fillId="5" borderId="8" xfId="0" applyFont="true" applyBorder="true" applyAlignment="false" applyProtection="true">
      <alignment horizontal="general" vertical="bottom" textRotation="0" wrapText="false" indent="0" shrinkToFit="false"/>
      <protection locked="true" hidden="false"/>
    </xf>
    <xf numFmtId="169" fontId="7" fillId="4" borderId="8" xfId="0" applyFont="true" applyBorder="true" applyAlignment="false" applyProtection="true">
      <alignment horizontal="general" vertical="bottom" textRotation="0" wrapText="false" indent="0" shrinkToFit="false"/>
      <protection locked="true" hidden="false"/>
    </xf>
    <xf numFmtId="164" fontId="7" fillId="6" borderId="5" xfId="0" applyFont="true" applyBorder="true" applyAlignment="true" applyProtection="true">
      <alignment horizontal="left" vertical="bottom" textRotation="0" wrapText="false" indent="0" shrinkToFit="false"/>
      <protection locked="true" hidden="false"/>
    </xf>
    <xf numFmtId="164" fontId="7" fillId="6" borderId="5" xfId="0" applyFont="true" applyBorder="true" applyAlignment="false" applyProtection="false">
      <alignment horizontal="general" vertical="bottom" textRotation="0" wrapText="false" indent="0" shrinkToFit="false"/>
      <protection locked="true" hidden="false"/>
    </xf>
    <xf numFmtId="169" fontId="32" fillId="4" borderId="4" xfId="0" applyFont="true" applyBorder="true" applyAlignment="false" applyProtection="true">
      <alignment horizontal="general" vertical="bottom" textRotation="0" wrapText="false" indent="0" shrinkToFit="false"/>
      <protection locked="true" hidden="false"/>
    </xf>
    <xf numFmtId="169" fontId="32" fillId="5" borderId="2" xfId="0" applyFont="true" applyBorder="true" applyAlignment="false" applyProtection="true">
      <alignment horizontal="general" vertical="bottom" textRotation="0" wrapText="false" indent="0" shrinkToFit="false"/>
      <protection locked="true" hidden="false"/>
    </xf>
    <xf numFmtId="164" fontId="7" fillId="6" borderId="13" xfId="0" applyFont="true" applyBorder="true" applyAlignment="false" applyProtection="true">
      <alignment horizontal="general" vertical="bottom" textRotation="0" wrapText="false" indent="0" shrinkToFit="false"/>
      <protection locked="true" hidden="false"/>
    </xf>
    <xf numFmtId="164" fontId="7" fillId="6" borderId="15" xfId="0" applyFont="true" applyBorder="true" applyAlignment="true" applyProtection="true">
      <alignment horizontal="right" vertical="bottom" textRotation="0" wrapText="false" indent="0" shrinkToFit="false"/>
      <protection locked="true" hidden="false"/>
    </xf>
    <xf numFmtId="164" fontId="35" fillId="6" borderId="2" xfId="0" applyFont="true" applyBorder="true" applyAlignment="false" applyProtection="true">
      <alignment horizontal="general" vertical="bottom" textRotation="0" wrapText="false" indent="0" shrinkToFit="false"/>
      <protection locked="false" hidden="false"/>
    </xf>
    <xf numFmtId="164" fontId="41" fillId="0" borderId="0" xfId="0" applyFont="true" applyBorder="true" applyAlignment="false" applyProtection="true">
      <alignment horizontal="general" vertical="bottom" textRotation="0" wrapText="false" indent="0" shrinkToFit="false"/>
      <protection locked="true" hidden="false"/>
    </xf>
    <xf numFmtId="164" fontId="7" fillId="2" borderId="7" xfId="0" applyFont="true" applyBorder="true" applyAlignment="false" applyProtection="true">
      <alignment horizontal="general" vertical="bottom" textRotation="0" wrapText="false" indent="0" shrinkToFit="false"/>
      <protection locked="true" hidden="false"/>
    </xf>
    <xf numFmtId="164" fontId="37" fillId="0" borderId="7" xfId="0" applyFont="true" applyBorder="true" applyAlignment="true" applyProtection="true">
      <alignment horizontal="right" vertical="bottom" textRotation="0" wrapText="false" indent="0" shrinkToFit="false"/>
      <protection locked="true" hidden="false"/>
    </xf>
    <xf numFmtId="164" fontId="37" fillId="0" borderId="2" xfId="0" applyFont="true" applyBorder="true" applyAlignment="false" applyProtection="true">
      <alignment horizontal="general" vertical="bottom" textRotation="0" wrapText="false" indent="0" shrinkToFit="false"/>
      <protection locked="true" hidden="false"/>
    </xf>
    <xf numFmtId="170" fontId="42" fillId="0" borderId="2" xfId="0" applyFont="true" applyBorder="true" applyAlignment="true" applyProtection="true">
      <alignment horizontal="center" vertical="bottom" textRotation="0" wrapText="false" indent="0" shrinkToFit="false"/>
      <protection locked="false" hidden="false"/>
    </xf>
    <xf numFmtId="170" fontId="42" fillId="0" borderId="0" xfId="0" applyFont="true" applyBorder="true" applyAlignment="false" applyProtection="true">
      <alignment horizontal="general" vertical="bottom" textRotation="0" wrapText="false" indent="0" shrinkToFit="false"/>
      <protection locked="true" hidden="false"/>
    </xf>
    <xf numFmtId="170" fontId="42" fillId="0" borderId="0" xfId="0" applyFont="true" applyBorder="false" applyAlignment="false" applyProtection="true">
      <alignment horizontal="general" vertical="bottom" textRotation="0" wrapText="false" indent="0" shrinkToFit="false"/>
      <protection locked="true" hidden="false"/>
    </xf>
    <xf numFmtId="171" fontId="7" fillId="0" borderId="0" xfId="0" applyFont="true" applyBorder="true" applyAlignment="false" applyProtection="true">
      <alignment horizontal="general" vertical="bottom" textRotation="0" wrapText="false" indent="0" shrinkToFit="false"/>
      <protection locked="true" hidden="false"/>
    </xf>
    <xf numFmtId="164" fontId="35" fillId="0" borderId="9" xfId="0" applyFont="true" applyBorder="true" applyAlignment="false" applyProtection="true">
      <alignment horizontal="general" vertical="bottom" textRotation="0" wrapText="false" indent="0" shrinkToFit="false"/>
      <protection locked="true" hidden="false"/>
    </xf>
    <xf numFmtId="164" fontId="32" fillId="0" borderId="1" xfId="0" applyFont="true" applyBorder="true" applyAlignment="true" applyProtection="true">
      <alignment horizontal="right" vertical="bottom" textRotation="0" wrapText="false" indent="0" shrinkToFit="false"/>
      <protection locked="true" hidden="false"/>
    </xf>
    <xf numFmtId="164" fontId="32" fillId="2" borderId="0" xfId="0" applyFont="true" applyBorder="true" applyAlignment="false" applyProtection="true">
      <alignment horizontal="general" vertical="bottom" textRotation="0" wrapText="false" indent="0" shrinkToFit="false"/>
      <protection locked="true" hidden="false"/>
    </xf>
    <xf numFmtId="164" fontId="32" fillId="0" borderId="13" xfId="0" applyFont="true" applyBorder="true" applyAlignment="false" applyProtection="true">
      <alignment horizontal="general" vertical="bottom" textRotation="0" wrapText="false" indent="0" shrinkToFit="false"/>
      <protection locked="true" hidden="false"/>
    </xf>
    <xf numFmtId="164" fontId="7" fillId="0" borderId="4" xfId="0" applyFont="true" applyBorder="true" applyAlignment="false" applyProtection="false">
      <alignment horizontal="general" vertical="bottom" textRotation="0" wrapText="false" indent="0" shrinkToFit="false"/>
      <protection locked="true" hidden="false"/>
    </xf>
    <xf numFmtId="168" fontId="0" fillId="0" borderId="6" xfId="0" applyFont="false" applyBorder="true" applyAlignment="true" applyProtection="true">
      <alignment horizontal="center" vertical="bottom" textRotation="0" wrapText="false" indent="0" shrinkToFit="false"/>
      <protection locked="true" hidden="false"/>
    </xf>
    <xf numFmtId="164" fontId="7" fillId="0" borderId="8" xfId="0" applyFont="true" applyBorder="true" applyAlignment="true" applyProtection="true">
      <alignment horizontal="center" vertical="bottom" textRotation="0" wrapText="false" indent="0" shrinkToFit="false"/>
      <protection locked="true" hidden="false"/>
    </xf>
    <xf numFmtId="164" fontId="7" fillId="0" borderId="8" xfId="0" applyFont="true" applyBorder="true" applyAlignment="true" applyProtection="true">
      <alignment horizontal="center" vertical="bottom" textRotation="0" wrapText="false" indent="0" shrinkToFit="false"/>
      <protection locked="true" hidden="false"/>
    </xf>
    <xf numFmtId="164" fontId="7" fillId="0" borderId="7" xfId="0" applyFont="true" applyBorder="true" applyAlignment="true" applyProtection="true">
      <alignment horizontal="center" vertical="bottom" textRotation="0" wrapText="false" indent="0" shrinkToFit="false"/>
      <protection locked="true" hidden="false"/>
    </xf>
    <xf numFmtId="173" fontId="35" fillId="0" borderId="6" xfId="0" applyFont="true" applyBorder="true" applyAlignment="true" applyProtection="true">
      <alignment horizontal="left" vertical="bottom" textRotation="0" wrapText="false" indent="0" shrinkToFit="false"/>
      <protection locked="false" hidden="false"/>
    </xf>
    <xf numFmtId="167" fontId="35" fillId="0" borderId="2" xfId="0" applyFont="true" applyBorder="true" applyAlignment="true" applyProtection="true">
      <alignment horizontal="center" vertical="bottom" textRotation="0" wrapText="false" indent="0" shrinkToFit="false"/>
      <protection locked="false" hidden="false"/>
    </xf>
    <xf numFmtId="174" fontId="35" fillId="0" borderId="7" xfId="0" applyFont="true" applyBorder="true" applyAlignment="true" applyProtection="true">
      <alignment horizontal="left" vertical="bottom" textRotation="0" wrapText="false" indent="0" shrinkToFit="false"/>
      <protection locked="false" hidden="false"/>
    </xf>
    <xf numFmtId="168" fontId="0" fillId="0" borderId="2" xfId="0" applyFont="false" applyBorder="true" applyAlignment="true" applyProtection="true">
      <alignment horizontal="center" vertical="bottom" textRotation="0" wrapText="false" indent="0" shrinkToFit="false"/>
      <protection locked="true" hidden="false"/>
    </xf>
    <xf numFmtId="168" fontId="0" fillId="0" borderId="2" xfId="0" applyFont="false" applyBorder="true" applyAlignment="false" applyProtection="true">
      <alignment horizontal="general" vertical="bottom" textRotation="0" wrapText="false" indent="0" shrinkToFit="false"/>
      <protection locked="true" hidden="false"/>
    </xf>
    <xf numFmtId="167" fontId="35" fillId="0" borderId="0" xfId="0" applyFont="true" applyBorder="true" applyAlignment="false" applyProtection="tru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true">
      <alignment horizontal="general" vertical="bottom" textRotation="0" wrapText="false" indent="0" shrinkToFit="false"/>
      <protection locked="true" hidden="false"/>
    </xf>
    <xf numFmtId="174" fontId="35" fillId="0" borderId="0" xfId="0" applyFont="true" applyBorder="true" applyAlignment="false" applyProtection="true">
      <alignment horizontal="general" vertical="bottom" textRotation="0" wrapText="false" indent="0" shrinkToFit="false"/>
      <protection locked="true" hidden="false"/>
    </xf>
    <xf numFmtId="164" fontId="7" fillId="0" borderId="2" xfId="0" applyFont="true" applyBorder="true" applyAlignment="true" applyProtection="true">
      <alignment horizontal="center" vertical="bottom" textRotation="0" wrapText="false" indent="0" shrinkToFit="false"/>
      <protection locked="true" hidden="false"/>
    </xf>
    <xf numFmtId="164" fontId="7" fillId="0" borderId="1" xfId="0" applyFont="true" applyBorder="true" applyAlignment="false" applyProtection="true">
      <alignment horizontal="general" vertical="bottom" textRotation="0" wrapText="false" indent="0" shrinkToFit="false"/>
      <protection locked="true" hidden="false"/>
    </xf>
    <xf numFmtId="164" fontId="7" fillId="0" borderId="0" xfId="0" applyFont="true" applyBorder="true" applyAlignment="false" applyProtection="false">
      <alignment horizontal="general" vertical="bottom" textRotation="0" wrapText="false" indent="0" shrinkToFit="false"/>
      <protection locked="true" hidden="false"/>
    </xf>
    <xf numFmtId="164" fontId="7" fillId="0" borderId="4" xfId="0" applyFont="true" applyBorder="true" applyAlignment="false" applyProtection="false">
      <alignment horizontal="general" vertical="bottom" textRotation="0" wrapText="false" indent="0" shrinkToFit="false"/>
      <protection locked="true" hidden="false"/>
    </xf>
    <xf numFmtId="164" fontId="35" fillId="7" borderId="2" xfId="0" applyFont="true" applyBorder="true" applyAlignment="false" applyProtection="true">
      <alignment horizontal="general" vertical="bottom" textRotation="0" wrapText="false" indent="0" shrinkToFit="false"/>
      <protection locked="false" hidden="false"/>
    </xf>
    <xf numFmtId="164" fontId="37" fillId="7" borderId="2" xfId="0" applyFont="true" applyBorder="true" applyAlignment="true" applyProtection="true">
      <alignment horizontal="right" vertical="bottom" textRotation="0" wrapText="false" indent="0" shrinkToFit="false"/>
      <protection locked="true" hidden="false"/>
    </xf>
    <xf numFmtId="167" fontId="35" fillId="7" borderId="2" xfId="0" applyFont="true" applyBorder="true" applyAlignment="true" applyProtection="true">
      <alignment horizontal="center" vertical="bottom" textRotation="0" wrapText="false" indent="0" shrinkToFit="false"/>
      <protection locked="false" hidden="false"/>
    </xf>
    <xf numFmtId="164" fontId="35" fillId="8" borderId="2" xfId="0" applyFont="true" applyBorder="true" applyAlignment="false" applyProtection="true">
      <alignment horizontal="general" vertical="bottom" textRotation="0" wrapText="false" indent="0" shrinkToFit="false"/>
      <protection locked="true" hidden="false"/>
    </xf>
    <xf numFmtId="164" fontId="32" fillId="8" borderId="2" xfId="0" applyFont="true" applyBorder="true" applyAlignment="true" applyProtection="true">
      <alignment horizontal="right" vertical="bottom" textRotation="0" wrapText="false" indent="0" shrinkToFit="false"/>
      <protection locked="true" hidden="false"/>
    </xf>
    <xf numFmtId="175" fontId="35" fillId="8" borderId="2" xfId="0" applyFont="true" applyBorder="true" applyAlignment="true" applyProtection="true">
      <alignment horizontal="center" vertical="bottom" textRotation="0" wrapText="false" indent="0" shrinkToFit="false"/>
      <protection locked="false" hidden="false"/>
    </xf>
    <xf numFmtId="164" fontId="7" fillId="0" borderId="2" xfId="0" applyFont="true" applyBorder="true" applyAlignment="true" applyProtection="true">
      <alignment horizontal="right" vertical="bottom" textRotation="0" wrapText="false" indent="0" shrinkToFit="false"/>
      <protection locked="true" hidden="false"/>
    </xf>
    <xf numFmtId="167" fontId="35" fillId="9" borderId="2" xfId="0" applyFont="true" applyBorder="true" applyAlignment="true" applyProtection="true">
      <alignment horizontal="center" vertical="bottom" textRotation="0" wrapText="false" indent="0" shrinkToFit="false"/>
      <protection locked="true" hidden="false"/>
    </xf>
    <xf numFmtId="167" fontId="35" fillId="0" borderId="2" xfId="0" applyFont="true" applyBorder="true" applyAlignment="true" applyProtection="true">
      <alignment horizontal="center" vertical="bottom" textRotation="0" wrapText="false" indent="0" shrinkToFit="false"/>
      <protection locked="true" hidden="false"/>
    </xf>
    <xf numFmtId="164" fontId="35" fillId="7" borderId="2" xfId="0" applyFont="true" applyBorder="true" applyAlignment="false" applyProtection="true">
      <alignment horizontal="general" vertical="bottom" textRotation="0" wrapText="false" indent="0" shrinkToFit="false"/>
      <protection locked="true" hidden="false"/>
    </xf>
    <xf numFmtId="167" fontId="35" fillId="0" borderId="2" xfId="0" applyFont="true" applyBorder="true" applyAlignment="true" applyProtection="true">
      <alignment horizontal="center" vertical="bottom" textRotation="0" wrapText="false" indent="0" shrinkToFit="false"/>
      <protection locked="true" hidden="false"/>
    </xf>
    <xf numFmtId="173" fontId="35" fillId="7" borderId="2" xfId="0" applyFont="true" applyBorder="true" applyAlignment="false" applyProtection="true">
      <alignment horizontal="general" vertical="bottom" textRotation="0" wrapText="false" indent="0" shrinkToFit="false"/>
      <protection locked="false" hidden="false"/>
    </xf>
    <xf numFmtId="175" fontId="42" fillId="8" borderId="2" xfId="0" applyFont="true" applyBorder="true" applyAlignment="true" applyProtection="true">
      <alignment horizontal="center" vertical="bottom" textRotation="0" wrapText="false" indent="0" shrinkToFit="false"/>
      <protection locked="false" hidden="false"/>
    </xf>
    <xf numFmtId="167" fontId="7" fillId="0" borderId="2" xfId="0" applyFont="true" applyBorder="true" applyAlignment="true" applyProtection="true">
      <alignment horizontal="center" vertical="bottom" textRotation="0" wrapText="false" indent="0" shrinkToFit="false"/>
      <protection locked="true" hidden="false"/>
    </xf>
    <xf numFmtId="167" fontId="7" fillId="0" borderId="0" xfId="0" applyFont="true" applyBorder="true" applyAlignment="true" applyProtection="true">
      <alignment horizontal="center" vertical="bottom" textRotation="0" wrapText="false" indent="0" shrinkToFit="false"/>
      <protection locked="true" hidden="false"/>
    </xf>
    <xf numFmtId="164" fontId="7" fillId="0" borderId="0" xfId="0" applyFont="true" applyBorder="false" applyAlignment="false" applyProtection="true">
      <alignment horizontal="general" vertical="bottom" textRotation="0" wrapText="false" indent="0" shrinkToFit="false"/>
      <protection locked="false" hidden="false"/>
    </xf>
    <xf numFmtId="167" fontId="44" fillId="0" borderId="0" xfId="0" applyFont="true" applyBorder="true" applyAlignment="true" applyProtection="true">
      <alignment horizontal="general" vertical="bottom" textRotation="0" wrapText="false" indent="0" shrinkToFit="false"/>
      <protection locked="true" hidden="false"/>
    </xf>
    <xf numFmtId="164" fontId="11" fillId="0" borderId="0" xfId="0" applyFont="true" applyBorder="false" applyAlignment="true" applyProtection="true">
      <alignment horizontal="left" vertical="bottom" textRotation="0" wrapText="false" indent="0" shrinkToFit="false"/>
      <protection locked="true" hidden="false"/>
    </xf>
    <xf numFmtId="167" fontId="46" fillId="0" borderId="0" xfId="0" applyFont="true" applyBorder="true" applyAlignment="true" applyProtection="true">
      <alignment horizontal="left" vertical="bottom" textRotation="0" wrapText="false" indent="0" shrinkToFit="false"/>
      <protection locked="true" hidden="false"/>
    </xf>
    <xf numFmtId="164" fontId="11" fillId="0" borderId="0" xfId="0" applyFont="true" applyBorder="false" applyAlignment="true" applyProtection="true">
      <alignment horizontal="right" vertical="bottom" textRotation="0" wrapText="false" indent="0" shrinkToFit="false"/>
      <protection locked="true" hidden="false"/>
    </xf>
    <xf numFmtId="167" fontId="41" fillId="0" borderId="0" xfId="0" applyFont="true" applyBorder="false" applyAlignment="false" applyProtection="true">
      <alignment horizontal="general" vertical="bottom" textRotation="0" wrapText="false" indent="0" shrinkToFit="false"/>
      <protection locked="false" hidden="false"/>
    </xf>
    <xf numFmtId="167" fontId="41" fillId="0" borderId="0" xfId="0" applyFont="true" applyBorder="false" applyAlignment="false" applyProtection="true">
      <alignment horizontal="general"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true" indent="0" shrinkToFit="false"/>
      <protection locked="true" hidden="false"/>
    </xf>
    <xf numFmtId="167" fontId="47" fillId="0" borderId="0" xfId="0" applyFont="true" applyBorder="true" applyAlignment="true" applyProtection="true">
      <alignment horizontal="general" vertical="bottom" textRotation="0" wrapText="false" indent="0" shrinkToFit="false"/>
      <protection locked="false" hidden="false"/>
    </xf>
    <xf numFmtId="164" fontId="48" fillId="0" borderId="0" xfId="0" applyFont="true" applyBorder="false" applyAlignment="true" applyProtection="true">
      <alignment horizontal="right" vertical="bottom" textRotation="0" wrapText="false" indent="0" shrinkToFit="false"/>
      <protection locked="true" hidden="false"/>
    </xf>
    <xf numFmtId="164" fontId="48" fillId="0" borderId="0" xfId="0" applyFont="true" applyBorder="false" applyAlignment="false" applyProtection="true">
      <alignment horizontal="general" vertical="bottom" textRotation="0" wrapText="false" indent="0" shrinkToFit="false"/>
      <protection locked="true" hidden="false"/>
    </xf>
    <xf numFmtId="164" fontId="29" fillId="0" borderId="0" xfId="0" applyFont="true" applyBorder="true" applyAlignment="true" applyProtection="true">
      <alignment horizontal="center" vertical="center" textRotation="0" wrapText="false" indent="0" shrinkToFit="false"/>
      <protection locked="true" hidden="false"/>
    </xf>
    <xf numFmtId="164" fontId="41" fillId="0" borderId="0" xfId="0" applyFont="true" applyBorder="false" applyAlignment="false" applyProtection="true">
      <alignment horizontal="general" vertical="bottom" textRotation="0" wrapText="false" indent="0" shrinkToFit="false"/>
      <protection locked="true" hidden="false"/>
    </xf>
    <xf numFmtId="164" fontId="41" fillId="0" borderId="0" xfId="0" applyFont="true" applyBorder="false" applyAlignment="true" applyProtection="true">
      <alignment horizontal="left" vertical="bottom" textRotation="0" wrapText="false" indent="0" shrinkToFit="false"/>
      <protection locked="true" hidden="false"/>
    </xf>
    <xf numFmtId="164" fontId="41" fillId="0" borderId="0" xfId="0" applyFont="true" applyBorder="false" applyAlignment="true" applyProtection="true">
      <alignment horizontal="center" vertical="bottom" textRotation="0" wrapText="false" indent="0" shrinkToFit="false"/>
      <protection locked="true" hidden="false"/>
    </xf>
    <xf numFmtId="167" fontId="49" fillId="10" borderId="17" xfId="0" applyFont="true" applyBorder="true" applyAlignment="true" applyProtection="true">
      <alignment horizontal="right" vertical="bottom" textRotation="0" wrapText="false" indent="0" shrinkToFit="false"/>
      <protection locked="true" hidden="false"/>
    </xf>
    <xf numFmtId="166" fontId="50" fillId="0" borderId="18" xfId="0" applyFont="true" applyBorder="true" applyAlignment="true" applyProtection="true">
      <alignment horizontal="left" vertical="bottom" textRotation="0" wrapText="false" indent="0" shrinkToFit="false"/>
      <protection locked="true" hidden="false"/>
    </xf>
    <xf numFmtId="167" fontId="49" fillId="0" borderId="0" xfId="0" applyFont="true" applyBorder="true" applyAlignment="true" applyProtection="true">
      <alignment horizontal="left" vertical="bottom" textRotation="0" wrapText="false" indent="0" shrinkToFit="false"/>
      <protection locked="true" hidden="false"/>
    </xf>
    <xf numFmtId="164" fontId="50" fillId="0" borderId="0" xfId="0" applyFont="true" applyBorder="true" applyAlignment="true" applyProtection="true">
      <alignment horizontal="left" vertical="bottom" textRotation="0" wrapText="false" indent="0" shrinkToFit="false"/>
      <protection locked="true" hidden="false"/>
    </xf>
    <xf numFmtId="167" fontId="50" fillId="6" borderId="1" xfId="0" applyFont="true" applyBorder="true" applyAlignment="true" applyProtection="true">
      <alignment horizontal="center" vertical="bottom" textRotation="0" wrapText="false" indent="0" shrinkToFit="false"/>
      <protection locked="true" hidden="false"/>
    </xf>
    <xf numFmtId="164" fontId="7" fillId="11" borderId="5" xfId="0" applyFont="true" applyBorder="true" applyAlignment="false" applyProtection="true">
      <alignment horizontal="general" vertical="bottom" textRotation="0" wrapText="false" indent="0" shrinkToFit="false"/>
      <protection locked="true" hidden="false"/>
    </xf>
    <xf numFmtId="164" fontId="50" fillId="11" borderId="5" xfId="0" applyFont="true" applyBorder="true" applyAlignment="true" applyProtection="true">
      <alignment horizontal="center" vertical="bottom" textRotation="0" wrapText="false" indent="0" shrinkToFit="false"/>
      <protection locked="true" hidden="false"/>
    </xf>
    <xf numFmtId="164" fontId="50" fillId="6" borderId="5" xfId="0" applyFont="true" applyBorder="true" applyAlignment="true" applyProtection="true">
      <alignment horizontal="center" vertical="bottom" textRotation="0" wrapText="false" indent="0" shrinkToFit="false"/>
      <protection locked="true" hidden="false"/>
    </xf>
    <xf numFmtId="164" fontId="50" fillId="6" borderId="5" xfId="0" applyFont="true" applyBorder="true" applyAlignment="true" applyProtection="true">
      <alignment horizontal="left" vertical="bottom" textRotation="0" wrapText="false" indent="0" shrinkToFit="false"/>
      <protection locked="true" hidden="false"/>
    </xf>
    <xf numFmtId="167" fontId="50" fillId="11" borderId="5" xfId="0" applyFont="true" applyBorder="true" applyAlignment="true" applyProtection="true">
      <alignment horizontal="center" vertical="bottom" textRotation="0" wrapText="false" indent="0" shrinkToFit="false"/>
      <protection locked="true" hidden="false"/>
    </xf>
    <xf numFmtId="164" fontId="7" fillId="11" borderId="10" xfId="0" applyFont="true" applyBorder="true" applyAlignment="false" applyProtection="true">
      <alignment horizontal="general" vertical="bottom" textRotation="0" wrapText="false" indent="0" shrinkToFit="false"/>
      <protection locked="true" hidden="false"/>
    </xf>
    <xf numFmtId="167" fontId="50" fillId="0" borderId="0" xfId="0" applyFont="true" applyBorder="true" applyAlignment="true" applyProtection="true">
      <alignment horizontal="left" vertical="bottom" textRotation="0" wrapText="false" indent="0" shrinkToFit="false"/>
      <protection locked="true" hidden="false"/>
    </xf>
    <xf numFmtId="167" fontId="49" fillId="0" borderId="19" xfId="0" applyFont="true" applyBorder="true" applyAlignment="true" applyProtection="true">
      <alignment horizontal="right" vertical="bottom" textRotation="0" wrapText="false" indent="0" shrinkToFit="false"/>
      <protection locked="true" hidden="false"/>
    </xf>
    <xf numFmtId="167" fontId="50" fillId="10" borderId="20" xfId="0" applyFont="true" applyBorder="true" applyAlignment="true" applyProtection="true">
      <alignment horizontal="left" vertical="bottom" textRotation="0" wrapText="false" indent="0" shrinkToFit="false"/>
      <protection locked="true" hidden="false"/>
    </xf>
    <xf numFmtId="167" fontId="50" fillId="6" borderId="3" xfId="0" applyFont="true" applyBorder="true" applyAlignment="true" applyProtection="true">
      <alignment horizontal="center" vertical="bottom" textRotation="0" wrapText="false" indent="0" shrinkToFit="false"/>
      <protection locked="true" hidden="false"/>
    </xf>
    <xf numFmtId="164" fontId="7" fillId="11" borderId="0" xfId="0" applyFont="true" applyBorder="false" applyAlignment="false" applyProtection="true">
      <alignment horizontal="general" vertical="bottom" textRotation="0" wrapText="false" indent="0" shrinkToFit="false"/>
      <protection locked="true" hidden="false"/>
    </xf>
    <xf numFmtId="167" fontId="50" fillId="11" borderId="0" xfId="0" applyFont="true" applyBorder="true" applyAlignment="true" applyProtection="true">
      <alignment horizontal="center" vertical="bottom" textRotation="0" wrapText="false" indent="0" shrinkToFit="false"/>
      <protection locked="true" hidden="false"/>
    </xf>
    <xf numFmtId="167" fontId="50" fillId="6" borderId="0" xfId="0" applyFont="true" applyBorder="true" applyAlignment="true" applyProtection="true">
      <alignment horizontal="center" vertical="bottom" textRotation="0" wrapText="false" indent="0" shrinkToFit="false"/>
      <protection locked="true" hidden="false"/>
    </xf>
    <xf numFmtId="167" fontId="50" fillId="6" borderId="0" xfId="0" applyFont="true" applyBorder="true" applyAlignment="true" applyProtection="true">
      <alignment horizontal="left" vertical="bottom" textRotation="0" wrapText="false" indent="0" shrinkToFit="false"/>
      <protection locked="true" hidden="false"/>
    </xf>
    <xf numFmtId="167" fontId="50" fillId="11" borderId="14" xfId="0" applyFont="true" applyBorder="true" applyAlignment="true" applyProtection="true">
      <alignment horizontal="center" vertical="bottom" textRotation="0" wrapText="false" indent="0" shrinkToFit="false"/>
      <protection locked="true" hidden="false"/>
    </xf>
    <xf numFmtId="167" fontId="50" fillId="11" borderId="12" xfId="0" applyFont="true" applyBorder="true" applyAlignment="true" applyProtection="true">
      <alignment horizontal="center" vertical="bottom" textRotation="0" wrapText="false" indent="0" shrinkToFit="false"/>
      <protection locked="true" hidden="false"/>
    </xf>
    <xf numFmtId="167" fontId="50" fillId="0" borderId="0" xfId="0" applyFont="true" applyBorder="true" applyAlignment="true" applyProtection="true">
      <alignment horizontal="center" vertical="bottom" textRotation="0" wrapText="false" indent="0" shrinkToFit="false"/>
      <protection locked="true" hidden="false"/>
    </xf>
    <xf numFmtId="167" fontId="49" fillId="10" borderId="21" xfId="0" applyFont="true" applyBorder="true" applyAlignment="true" applyProtection="true">
      <alignment horizontal="right" vertical="bottom" textRotation="0" wrapText="false" indent="0" shrinkToFit="false"/>
      <protection locked="true" hidden="false"/>
    </xf>
    <xf numFmtId="166" fontId="50" fillId="7" borderId="22" xfId="0" applyFont="true" applyBorder="true" applyAlignment="true" applyProtection="true">
      <alignment horizontal="left" vertical="bottom" textRotation="0" wrapText="false" indent="0" shrinkToFit="false"/>
      <protection locked="true" hidden="false"/>
    </xf>
    <xf numFmtId="173" fontId="51" fillId="12" borderId="1" xfId="0" applyFont="true" applyBorder="true" applyAlignment="true" applyProtection="true">
      <alignment horizontal="right" vertical="bottom" textRotation="0" wrapText="false" indent="0" shrinkToFit="false"/>
      <protection locked="false" hidden="false"/>
    </xf>
    <xf numFmtId="168" fontId="49" fillId="7" borderId="1" xfId="0" applyFont="true" applyBorder="true" applyAlignment="true" applyProtection="true">
      <alignment horizontal="center" vertical="bottom" textRotation="0" wrapText="false" indent="0" shrinkToFit="false"/>
      <protection locked="true" hidden="false"/>
    </xf>
    <xf numFmtId="164" fontId="7" fillId="7" borderId="9" xfId="0" applyFont="true" applyBorder="true" applyAlignment="false" applyProtection="true">
      <alignment horizontal="general" vertical="bottom" textRotation="0" wrapText="false" indent="0" shrinkToFit="false"/>
      <protection locked="true" hidden="false"/>
    </xf>
    <xf numFmtId="167" fontId="49" fillId="7" borderId="5" xfId="0" applyFont="true" applyBorder="true" applyAlignment="true" applyProtection="true">
      <alignment horizontal="center" vertical="bottom" textRotation="0" wrapText="false" indent="0" shrinkToFit="false"/>
      <protection locked="true" hidden="false"/>
    </xf>
    <xf numFmtId="167" fontId="49" fillId="7" borderId="10" xfId="0" applyFont="true" applyBorder="true" applyAlignment="true" applyProtection="true">
      <alignment horizontal="center" vertical="bottom" textRotation="0" wrapText="false" indent="0" shrinkToFit="false"/>
      <protection locked="true" hidden="false"/>
    </xf>
    <xf numFmtId="176" fontId="51" fillId="12" borderId="1" xfId="0" applyFont="true" applyBorder="true" applyAlignment="true" applyProtection="true">
      <alignment horizontal="center" vertical="bottom" textRotation="0" wrapText="false" indent="0" shrinkToFit="false"/>
      <protection locked="false" hidden="false"/>
    </xf>
    <xf numFmtId="168" fontId="49" fillId="7" borderId="0" xfId="0" applyFont="true" applyBorder="true" applyAlignment="true" applyProtection="true">
      <alignment horizontal="center" vertical="bottom" textRotation="0" wrapText="false" indent="0" shrinkToFit="false"/>
      <protection locked="true" hidden="false"/>
    </xf>
    <xf numFmtId="176" fontId="51" fillId="7" borderId="10" xfId="0" applyFont="true" applyBorder="true" applyAlignment="true" applyProtection="true">
      <alignment horizontal="left" vertical="bottom" textRotation="0" wrapText="false" indent="0" shrinkToFit="false"/>
      <protection locked="true" hidden="false"/>
    </xf>
    <xf numFmtId="168" fontId="49" fillId="0" borderId="0" xfId="0" applyFont="true" applyBorder="true" applyAlignment="true" applyProtection="true">
      <alignment horizontal="center" vertical="bottom" textRotation="0" wrapText="false" indent="0" shrinkToFit="false"/>
      <protection locked="true" hidden="false"/>
    </xf>
    <xf numFmtId="167" fontId="49" fillId="0" borderId="23" xfId="0" applyFont="true" applyBorder="true" applyAlignment="true" applyProtection="true">
      <alignment horizontal="general" vertical="bottom" textRotation="0" wrapText="false" indent="0" shrinkToFit="false"/>
      <protection locked="true" hidden="false"/>
    </xf>
    <xf numFmtId="173" fontId="51" fillId="13" borderId="3" xfId="0" applyFont="true" applyBorder="true" applyAlignment="true" applyProtection="true">
      <alignment horizontal="right" vertical="bottom" textRotation="0" wrapText="false" indent="0" shrinkToFit="false"/>
      <protection locked="false" hidden="false"/>
    </xf>
    <xf numFmtId="168" fontId="49" fillId="8" borderId="1" xfId="0" applyFont="true" applyBorder="true" applyAlignment="true" applyProtection="true">
      <alignment horizontal="center" vertical="bottom" textRotation="0" wrapText="false" indent="0" shrinkToFit="false"/>
      <protection locked="true" hidden="false"/>
    </xf>
    <xf numFmtId="164" fontId="7" fillId="8" borderId="11" xfId="0" applyFont="true" applyBorder="true" applyAlignment="false" applyProtection="true">
      <alignment horizontal="general" vertical="bottom" textRotation="0" wrapText="false" indent="0" shrinkToFit="false"/>
      <protection locked="true" hidden="false"/>
    </xf>
    <xf numFmtId="167" fontId="49" fillId="8" borderId="0" xfId="0" applyFont="true" applyBorder="true" applyAlignment="true" applyProtection="true">
      <alignment horizontal="center" vertical="bottom" textRotation="0" wrapText="false" indent="0" shrinkToFit="false"/>
      <protection locked="true" hidden="false"/>
    </xf>
    <xf numFmtId="167" fontId="49" fillId="8" borderId="12" xfId="0" applyFont="true" applyBorder="true" applyAlignment="true" applyProtection="true">
      <alignment horizontal="center" vertical="bottom" textRotation="0" wrapText="false" indent="0" shrinkToFit="false"/>
      <protection locked="true" hidden="false"/>
    </xf>
    <xf numFmtId="176" fontId="51" fillId="13" borderId="3" xfId="0" applyFont="true" applyBorder="true" applyAlignment="true" applyProtection="true">
      <alignment horizontal="center" vertical="bottom" textRotation="0" wrapText="false" indent="0" shrinkToFit="false"/>
      <protection locked="false" hidden="false"/>
    </xf>
    <xf numFmtId="168" fontId="49" fillId="8" borderId="0" xfId="0" applyFont="true" applyBorder="true" applyAlignment="true" applyProtection="true">
      <alignment horizontal="center" vertical="bottom" textRotation="0" wrapText="false" indent="0" shrinkToFit="false"/>
      <protection locked="true" hidden="false"/>
    </xf>
    <xf numFmtId="176" fontId="51" fillId="8" borderId="12" xfId="0" applyFont="true" applyBorder="true" applyAlignment="true" applyProtection="true">
      <alignment horizontal="left" vertical="bottom" textRotation="0" wrapText="false" indent="0" shrinkToFit="false"/>
      <protection locked="true" hidden="false"/>
    </xf>
    <xf numFmtId="167" fontId="49" fillId="10" borderId="1" xfId="0" applyFont="true" applyBorder="true" applyAlignment="true" applyProtection="true">
      <alignment horizontal="right" vertical="bottom" textRotation="0" wrapText="false" indent="0" shrinkToFit="false"/>
      <protection locked="true" hidden="false"/>
    </xf>
    <xf numFmtId="167" fontId="52" fillId="7" borderId="2" xfId="0" applyFont="true" applyBorder="true" applyAlignment="true" applyProtection="true">
      <alignment horizontal="left" vertical="bottom" textRotation="0" wrapText="false" indent="0" shrinkToFit="false"/>
      <protection locked="true" hidden="false"/>
    </xf>
    <xf numFmtId="164" fontId="53" fillId="0" borderId="2" xfId="0" applyFont="true" applyBorder="true" applyAlignment="true" applyProtection="true">
      <alignment horizontal="left" vertical="bottom" textRotation="0" wrapText="false" indent="0" shrinkToFit="false"/>
      <protection locked="true" hidden="false"/>
    </xf>
    <xf numFmtId="173" fontId="51" fillId="12" borderId="3" xfId="0" applyFont="true" applyBorder="true" applyAlignment="true" applyProtection="true">
      <alignment horizontal="right" vertical="bottom" textRotation="0" wrapText="false" indent="0" shrinkToFit="false"/>
      <protection locked="false" hidden="false"/>
    </xf>
    <xf numFmtId="164" fontId="7" fillId="7" borderId="11" xfId="0" applyFont="true" applyBorder="true" applyAlignment="false" applyProtection="true">
      <alignment horizontal="general" vertical="bottom" textRotation="0" wrapText="false" indent="0" shrinkToFit="false"/>
      <protection locked="true" hidden="false"/>
    </xf>
    <xf numFmtId="167" fontId="49" fillId="7" borderId="0" xfId="0" applyFont="true" applyBorder="true" applyAlignment="true" applyProtection="true">
      <alignment horizontal="center" vertical="bottom" textRotation="0" wrapText="false" indent="0" shrinkToFit="false"/>
      <protection locked="true" hidden="false"/>
    </xf>
    <xf numFmtId="167" fontId="49" fillId="7" borderId="12" xfId="0" applyFont="true" applyBorder="true" applyAlignment="true" applyProtection="true">
      <alignment horizontal="center" vertical="bottom" textRotation="0" wrapText="false" indent="0" shrinkToFit="false"/>
      <protection locked="true" hidden="false"/>
    </xf>
    <xf numFmtId="176" fontId="51" fillId="12" borderId="3" xfId="0" applyFont="true" applyBorder="true" applyAlignment="true" applyProtection="true">
      <alignment horizontal="center" vertical="bottom" textRotation="0" wrapText="false" indent="0" shrinkToFit="false"/>
      <protection locked="false" hidden="false"/>
    </xf>
    <xf numFmtId="176" fontId="51" fillId="7" borderId="12" xfId="0" applyFont="true" applyBorder="true" applyAlignment="true" applyProtection="true">
      <alignment horizontal="left" vertical="bottom" textRotation="0" wrapText="false" indent="0" shrinkToFit="false"/>
      <protection locked="true" hidden="false"/>
    </xf>
    <xf numFmtId="164" fontId="7" fillId="0" borderId="0" xfId="0" applyFont="true" applyBorder="false" applyAlignment="true" applyProtection="true">
      <alignment horizontal="general" vertical="bottom" textRotation="90" wrapText="false" indent="0" shrinkToFit="false"/>
      <protection locked="true" hidden="false"/>
    </xf>
    <xf numFmtId="167" fontId="50" fillId="10" borderId="3" xfId="0" applyFont="true" applyBorder="true" applyAlignment="true" applyProtection="true">
      <alignment horizontal="right" vertical="top" textRotation="0" wrapText="false" indent="0" shrinkToFit="false"/>
      <protection locked="true" hidden="false"/>
    </xf>
    <xf numFmtId="167" fontId="51" fillId="12" borderId="2" xfId="0" applyFont="true" applyBorder="true" applyAlignment="true" applyProtection="true">
      <alignment horizontal="left" vertical="bottom" textRotation="0" wrapText="false" indent="0" shrinkToFit="false"/>
      <protection locked="false" hidden="false"/>
    </xf>
    <xf numFmtId="167" fontId="54" fillId="0" borderId="2" xfId="0" applyFont="true" applyBorder="true" applyAlignment="true" applyProtection="true">
      <alignment horizontal="center" vertical="bottom" textRotation="0" wrapText="false" indent="0" shrinkToFit="false"/>
      <protection locked="true" hidden="false"/>
    </xf>
    <xf numFmtId="167" fontId="51" fillId="13" borderId="2" xfId="0" applyFont="true" applyBorder="true" applyAlignment="true" applyProtection="true">
      <alignment horizontal="left" vertical="bottom" textRotation="0" wrapText="false" indent="0" shrinkToFit="false"/>
      <protection locked="false" hidden="false"/>
    </xf>
    <xf numFmtId="173" fontId="51" fillId="12" borderId="4" xfId="0" applyFont="true" applyBorder="true" applyAlignment="true" applyProtection="true">
      <alignment horizontal="right" vertical="bottom" textRotation="0" wrapText="false" indent="0" shrinkToFit="false"/>
      <protection locked="false" hidden="false"/>
    </xf>
    <xf numFmtId="168" fontId="49" fillId="7" borderId="2" xfId="0" applyFont="true" applyBorder="true" applyAlignment="true" applyProtection="true">
      <alignment horizontal="center" vertical="bottom" textRotation="0" wrapText="false" indent="0" shrinkToFit="false"/>
      <protection locked="true" hidden="false"/>
    </xf>
    <xf numFmtId="164" fontId="7" fillId="7" borderId="13" xfId="0" applyFont="true" applyBorder="true" applyAlignment="false" applyProtection="true">
      <alignment horizontal="general" vertical="bottom" textRotation="0" wrapText="false" indent="0" shrinkToFit="false"/>
      <protection locked="true" hidden="false"/>
    </xf>
    <xf numFmtId="167" fontId="49" fillId="7" borderId="14" xfId="0" applyFont="true" applyBorder="true" applyAlignment="true" applyProtection="true">
      <alignment horizontal="center" vertical="bottom" textRotation="0" wrapText="false" indent="0" shrinkToFit="false"/>
      <protection locked="true" hidden="false"/>
    </xf>
    <xf numFmtId="167" fontId="49" fillId="7" borderId="15" xfId="0" applyFont="true" applyBorder="true" applyAlignment="true" applyProtection="true">
      <alignment horizontal="center" vertical="bottom" textRotation="0" wrapText="false" indent="0" shrinkToFit="false"/>
      <protection locked="true" hidden="false"/>
    </xf>
    <xf numFmtId="176" fontId="51" fillId="12" borderId="4" xfId="0" applyFont="true" applyBorder="true" applyAlignment="true" applyProtection="true">
      <alignment horizontal="center" vertical="bottom" textRotation="0" wrapText="false" indent="0" shrinkToFit="false"/>
      <protection locked="false" hidden="false"/>
    </xf>
    <xf numFmtId="168" fontId="49" fillId="7" borderId="14" xfId="0" applyFont="true" applyBorder="true" applyAlignment="true" applyProtection="true">
      <alignment horizontal="center" vertical="bottom" textRotation="0" wrapText="false" indent="0" shrinkToFit="false"/>
      <protection locked="true" hidden="false"/>
    </xf>
    <xf numFmtId="176" fontId="51" fillId="7" borderId="15" xfId="0" applyFont="true" applyBorder="true" applyAlignment="true" applyProtection="true">
      <alignment horizontal="left" vertical="bottom" textRotation="0" wrapText="false" indent="0" shrinkToFit="false"/>
      <protection locked="true" hidden="false"/>
    </xf>
    <xf numFmtId="167" fontId="49" fillId="10" borderId="3" xfId="0" applyFont="true" applyBorder="true" applyAlignment="true" applyProtection="true">
      <alignment horizontal="right" vertical="bottom" textRotation="0" wrapText="false" indent="0" shrinkToFit="false"/>
      <protection locked="true" hidden="false"/>
    </xf>
    <xf numFmtId="167" fontId="55" fillId="7" borderId="2" xfId="0" applyFont="true" applyBorder="true" applyAlignment="true" applyProtection="true">
      <alignment horizontal="left" vertical="bottom" textRotation="0" wrapText="false" indent="0" shrinkToFit="false"/>
      <protection locked="true" hidden="false"/>
    </xf>
    <xf numFmtId="167" fontId="49" fillId="8" borderId="4" xfId="0" applyFont="true" applyBorder="true" applyAlignment="true" applyProtection="true">
      <alignment horizontal="right" vertical="bottom" textRotation="0" wrapText="false" indent="0" shrinkToFit="false"/>
      <protection locked="true" hidden="false"/>
    </xf>
    <xf numFmtId="167" fontId="50" fillId="8" borderId="2" xfId="0" applyFont="true" applyBorder="true" applyAlignment="true" applyProtection="true">
      <alignment horizontal="center" vertical="bottom" textRotation="0" wrapText="false" indent="0" shrinkToFit="false"/>
      <protection locked="true" hidden="false"/>
    </xf>
    <xf numFmtId="167" fontId="49" fillId="8" borderId="2" xfId="0" applyFont="true" applyBorder="true" applyAlignment="true" applyProtection="true">
      <alignment horizontal="general" vertical="bottom" textRotation="0" wrapText="false" indent="0" shrinkToFit="false"/>
      <protection locked="true" hidden="false"/>
    </xf>
    <xf numFmtId="164" fontId="51" fillId="0" borderId="0" xfId="0" applyFont="true" applyBorder="false" applyAlignment="false" applyProtection="true">
      <alignment horizontal="general" vertical="bottom" textRotation="0" wrapText="false" indent="0" shrinkToFit="false"/>
      <protection locked="true" hidden="false"/>
    </xf>
    <xf numFmtId="167" fontId="57" fillId="0" borderId="0" xfId="0" applyFont="true" applyBorder="true" applyAlignment="true" applyProtection="true">
      <alignment horizontal="right" vertical="bottom" textRotation="0" wrapText="false" indent="0" shrinkToFit="false"/>
      <protection locked="true" hidden="false"/>
    </xf>
    <xf numFmtId="167" fontId="57" fillId="0" borderId="0" xfId="0" applyFont="true" applyBorder="true" applyAlignment="true" applyProtection="true">
      <alignment horizontal="left" vertical="bottom" textRotation="0" wrapText="false" indent="0" shrinkToFit="false"/>
      <protection locked="true" hidden="false"/>
    </xf>
    <xf numFmtId="164" fontId="7" fillId="0" borderId="0" xfId="0" applyFont="true" applyBorder="false" applyAlignment="true" applyProtection="true">
      <alignment horizontal="left" vertical="top" textRotation="0" wrapText="true" indent="0" shrinkToFit="false"/>
      <protection locked="true" hidden="false"/>
    </xf>
    <xf numFmtId="164" fontId="7" fillId="0" borderId="0" xfId="0" applyFont="true" applyBorder="false" applyAlignment="true" applyProtection="true">
      <alignment horizontal="center" vertical="top" textRotation="0" wrapText="false" indent="0" shrinkToFit="false"/>
      <protection locked="true" hidden="false"/>
    </xf>
    <xf numFmtId="167" fontId="12" fillId="0" borderId="0" xfId="0" applyFont="true" applyBorder="true" applyAlignment="true" applyProtection="true">
      <alignment horizontal="right" vertical="bottom" textRotation="0" wrapText="false" indent="0" shrinkToFit="false"/>
      <protection locked="true" hidden="false"/>
    </xf>
    <xf numFmtId="167" fontId="50" fillId="0" borderId="2" xfId="0" applyFont="true" applyBorder="true" applyAlignment="true" applyProtection="true">
      <alignment horizontal="right" vertical="top" textRotation="0" wrapText="true" indent="0" shrinkToFit="false"/>
      <protection locked="true" hidden="false"/>
    </xf>
    <xf numFmtId="167" fontId="49" fillId="10" borderId="2" xfId="0" applyFont="true" applyBorder="true" applyAlignment="true" applyProtection="true">
      <alignment horizontal="center" vertical="top" textRotation="0" wrapText="true" indent="0" shrinkToFit="false"/>
      <protection locked="true" hidden="false"/>
    </xf>
    <xf numFmtId="167" fontId="50" fillId="0" borderId="2" xfId="0" applyFont="true" applyBorder="true" applyAlignment="true" applyProtection="true">
      <alignment horizontal="center" vertical="top" textRotation="0" wrapText="true" indent="0" shrinkToFit="false"/>
      <protection locked="true" hidden="false"/>
    </xf>
    <xf numFmtId="164" fontId="49" fillId="14" borderId="2" xfId="0" applyFont="true" applyBorder="true" applyAlignment="true" applyProtection="true">
      <alignment horizontal="center" vertical="top" textRotation="0" wrapText="true" indent="0" shrinkToFit="false"/>
      <protection locked="true" hidden="false"/>
    </xf>
    <xf numFmtId="167" fontId="49" fillId="15" borderId="24" xfId="0" applyFont="true" applyBorder="true" applyAlignment="true" applyProtection="true">
      <alignment horizontal="center" vertical="top" textRotation="0" wrapText="true" indent="0" shrinkToFit="false"/>
      <protection locked="true" hidden="false"/>
    </xf>
    <xf numFmtId="167" fontId="32" fillId="15" borderId="6" xfId="0" applyFont="true" applyBorder="true" applyAlignment="true" applyProtection="true">
      <alignment horizontal="center" vertical="center" textRotation="0" wrapText="true" indent="0" shrinkToFit="false"/>
      <protection locked="true" hidden="false"/>
    </xf>
    <xf numFmtId="167" fontId="49" fillId="15" borderId="7" xfId="0" applyFont="true" applyBorder="true" applyAlignment="true" applyProtection="true">
      <alignment horizontal="center" vertical="center" textRotation="90" wrapText="true" indent="0" shrinkToFit="false"/>
      <protection locked="true" hidden="false"/>
    </xf>
    <xf numFmtId="167" fontId="49" fillId="16" borderId="6" xfId="0" applyFont="true" applyBorder="true" applyAlignment="true" applyProtection="true">
      <alignment horizontal="center" vertical="center" textRotation="0" wrapText="true" indent="0" shrinkToFit="false"/>
      <protection locked="true" hidden="false"/>
    </xf>
    <xf numFmtId="167" fontId="49" fillId="16" borderId="7" xfId="0" applyFont="true" applyBorder="true" applyAlignment="true" applyProtection="true">
      <alignment horizontal="center" vertical="center" textRotation="90" wrapText="true" indent="0" shrinkToFit="false"/>
      <protection locked="true" hidden="false"/>
    </xf>
    <xf numFmtId="167" fontId="49" fillId="15" borderId="6" xfId="0" applyFont="true" applyBorder="true" applyAlignment="true" applyProtection="true">
      <alignment horizontal="center" vertical="center" textRotation="0" wrapText="true" indent="0" shrinkToFit="false"/>
      <protection locked="true" hidden="false"/>
    </xf>
    <xf numFmtId="167" fontId="49" fillId="0" borderId="0" xfId="0" applyFont="true" applyBorder="true" applyAlignment="true" applyProtection="true">
      <alignment horizontal="general" vertical="top" textRotation="0" wrapText="true" indent="0" shrinkToFit="false"/>
      <protection locked="true" hidden="false"/>
    </xf>
    <xf numFmtId="167" fontId="51" fillId="12" borderId="1" xfId="0" applyFont="true" applyBorder="true" applyAlignment="true" applyProtection="true">
      <alignment horizontal="right" vertical="bottom" textRotation="0" wrapText="false" indent="0" shrinkToFit="false"/>
      <protection locked="false" hidden="false"/>
    </xf>
    <xf numFmtId="164" fontId="53" fillId="7" borderId="9" xfId="0" applyFont="true" applyBorder="true" applyAlignment="true" applyProtection="true">
      <alignment horizontal="center" vertical="bottom" textRotation="0" wrapText="false" indent="0" shrinkToFit="false"/>
      <protection locked="true" hidden="false"/>
    </xf>
    <xf numFmtId="167" fontId="51" fillId="12" borderId="25" xfId="0" applyFont="true" applyBorder="true" applyAlignment="true" applyProtection="true">
      <alignment horizontal="center" vertical="bottom" textRotation="0" wrapText="false" indent="0" shrinkToFit="false"/>
      <protection locked="false" hidden="false"/>
    </xf>
    <xf numFmtId="175" fontId="53" fillId="7" borderId="1" xfId="0" applyFont="true" applyBorder="true" applyAlignment="true" applyProtection="true">
      <alignment horizontal="center" vertical="bottom" textRotation="0" wrapText="false" indent="0" shrinkToFit="false"/>
      <protection locked="true" hidden="false"/>
    </xf>
    <xf numFmtId="175" fontId="50" fillId="16" borderId="26" xfId="0" applyFont="true" applyBorder="true" applyAlignment="true" applyProtection="true">
      <alignment horizontal="center" vertical="bottom" textRotation="0" wrapText="false" indent="0" shrinkToFit="false"/>
      <protection locked="true" hidden="false"/>
    </xf>
    <xf numFmtId="175" fontId="51" fillId="12" borderId="9" xfId="0" applyFont="true" applyBorder="true" applyAlignment="true" applyProtection="true">
      <alignment horizontal="center" vertical="bottom" textRotation="0" wrapText="false" indent="0" shrinkToFit="false"/>
      <protection locked="false" hidden="false"/>
    </xf>
    <xf numFmtId="175" fontId="54" fillId="7" borderId="10" xfId="0" applyFont="true" applyBorder="true" applyAlignment="true" applyProtection="true">
      <alignment horizontal="center" vertical="bottom" textRotation="0" wrapText="false" indent="0" shrinkToFit="false"/>
      <protection locked="true" hidden="false"/>
    </xf>
    <xf numFmtId="175" fontId="51" fillId="12" borderId="11" xfId="0" applyFont="true" applyBorder="true" applyAlignment="true" applyProtection="true">
      <alignment horizontal="center" vertical="bottom" textRotation="0" wrapText="false" indent="0" shrinkToFit="false"/>
      <protection locked="false" hidden="false"/>
    </xf>
    <xf numFmtId="175" fontId="54" fillId="7" borderId="12" xfId="0" applyFont="true" applyBorder="true" applyAlignment="true" applyProtection="true">
      <alignment horizontal="center" vertical="bottom" textRotation="0" wrapText="false" indent="0" shrinkToFit="false"/>
      <protection locked="true" hidden="false"/>
    </xf>
    <xf numFmtId="167" fontId="49" fillId="0" borderId="11" xfId="0" applyFont="true" applyBorder="true" applyAlignment="true" applyProtection="true">
      <alignment horizontal="center" vertical="bottom" textRotation="0" wrapText="false" indent="0" shrinkToFit="false"/>
      <protection locked="true" hidden="false"/>
    </xf>
    <xf numFmtId="167" fontId="51" fillId="13" borderId="3" xfId="0" applyFont="true" applyBorder="true" applyAlignment="true" applyProtection="true">
      <alignment horizontal="right" vertical="bottom" textRotation="0" wrapText="false" indent="0" shrinkToFit="false"/>
      <protection locked="false" hidden="false"/>
    </xf>
    <xf numFmtId="164" fontId="53" fillId="7" borderId="11" xfId="0" applyFont="true" applyBorder="true" applyAlignment="true" applyProtection="true">
      <alignment horizontal="center" vertical="bottom" textRotation="0" wrapText="false" indent="0" shrinkToFit="false"/>
      <protection locked="true" hidden="false"/>
    </xf>
    <xf numFmtId="167" fontId="51" fillId="13" borderId="27" xfId="0" applyFont="true" applyBorder="true" applyAlignment="true" applyProtection="true">
      <alignment horizontal="center" vertical="bottom" textRotation="0" wrapText="false" indent="0" shrinkToFit="false"/>
      <protection locked="false" hidden="false"/>
    </xf>
    <xf numFmtId="175" fontId="53" fillId="8" borderId="3" xfId="0" applyFont="true" applyBorder="true" applyAlignment="true" applyProtection="true">
      <alignment horizontal="center" vertical="bottom" textRotation="0" wrapText="false" indent="0" shrinkToFit="false"/>
      <protection locked="true" hidden="false"/>
    </xf>
    <xf numFmtId="175" fontId="50" fillId="15" borderId="28" xfId="0" applyFont="true" applyBorder="true" applyAlignment="true" applyProtection="true">
      <alignment horizontal="center" vertical="bottom" textRotation="0" wrapText="false" indent="0" shrinkToFit="false"/>
      <protection locked="true" hidden="false"/>
    </xf>
    <xf numFmtId="175" fontId="51" fillId="13" borderId="11" xfId="0" applyFont="true" applyBorder="true" applyAlignment="true" applyProtection="true">
      <alignment horizontal="center" vertical="bottom" textRotation="0" wrapText="false" indent="0" shrinkToFit="false"/>
      <protection locked="false" hidden="false"/>
    </xf>
    <xf numFmtId="175" fontId="54" fillId="8" borderId="12" xfId="0" applyFont="true" applyBorder="true" applyAlignment="true" applyProtection="true">
      <alignment horizontal="center" vertical="bottom" textRotation="0" wrapText="false" indent="0" shrinkToFit="false"/>
      <protection locked="true" hidden="false"/>
    </xf>
    <xf numFmtId="167" fontId="51" fillId="12" borderId="3" xfId="0" applyFont="true" applyBorder="true" applyAlignment="true" applyProtection="true">
      <alignment horizontal="right" vertical="bottom" textRotation="0" wrapText="false" indent="0" shrinkToFit="false"/>
      <protection locked="false" hidden="false"/>
    </xf>
    <xf numFmtId="164" fontId="51" fillId="12" borderId="27" xfId="0" applyFont="true" applyBorder="true" applyAlignment="true" applyProtection="true">
      <alignment horizontal="center" vertical="bottom" textRotation="0" wrapText="false" indent="0" shrinkToFit="false"/>
      <protection locked="false" hidden="false"/>
    </xf>
    <xf numFmtId="175" fontId="53" fillId="7" borderId="3" xfId="0" applyFont="true" applyBorder="true" applyAlignment="true" applyProtection="true">
      <alignment horizontal="center" vertical="bottom" textRotation="0" wrapText="false" indent="0" shrinkToFit="false"/>
      <protection locked="true" hidden="false"/>
    </xf>
    <xf numFmtId="175" fontId="50" fillId="16" borderId="28" xfId="0" applyFont="true" applyBorder="true" applyAlignment="true" applyProtection="true">
      <alignment horizontal="center" vertical="bottom" textRotation="0" wrapText="false" indent="0" shrinkToFit="false"/>
      <protection locked="true" hidden="false"/>
    </xf>
    <xf numFmtId="164" fontId="51" fillId="13" borderId="27" xfId="0" applyFont="true" applyBorder="true" applyAlignment="true" applyProtection="true">
      <alignment horizontal="center" vertical="bottom" textRotation="0" wrapText="false" indent="0" shrinkToFit="false"/>
      <protection locked="false" hidden="false"/>
    </xf>
    <xf numFmtId="167" fontId="49" fillId="0" borderId="11" xfId="0" applyFont="true" applyBorder="true" applyAlignment="true" applyProtection="true">
      <alignment horizontal="general" vertical="bottom" textRotation="0" wrapText="false" indent="0" shrinkToFit="false"/>
      <protection locked="true" hidden="false"/>
    </xf>
    <xf numFmtId="167" fontId="51" fillId="12" borderId="4" xfId="0" applyFont="true" applyBorder="true" applyAlignment="true" applyProtection="true">
      <alignment horizontal="right" vertical="bottom" textRotation="0" wrapText="false" indent="0" shrinkToFit="false"/>
      <protection locked="false" hidden="false"/>
    </xf>
    <xf numFmtId="164" fontId="53" fillId="7" borderId="3" xfId="0" applyFont="true" applyBorder="true" applyAlignment="true" applyProtection="true">
      <alignment horizontal="center" vertical="bottom" textRotation="0" wrapText="false" indent="0" shrinkToFit="false"/>
      <protection locked="true" hidden="false"/>
    </xf>
    <xf numFmtId="164" fontId="51" fillId="12" borderId="29" xfId="0" applyFont="true" applyBorder="true" applyAlignment="true" applyProtection="true">
      <alignment horizontal="center" vertical="bottom" textRotation="0" wrapText="false" indent="0" shrinkToFit="false"/>
      <protection locked="false" hidden="false"/>
    </xf>
    <xf numFmtId="175" fontId="53" fillId="7" borderId="4" xfId="0" applyFont="true" applyBorder="true" applyAlignment="true" applyProtection="true">
      <alignment horizontal="center" vertical="bottom" textRotation="0" wrapText="false" indent="0" shrinkToFit="false"/>
      <protection locked="true" hidden="false"/>
    </xf>
    <xf numFmtId="175" fontId="50" fillId="16" borderId="30" xfId="0" applyFont="true" applyBorder="true" applyAlignment="true" applyProtection="true">
      <alignment horizontal="center" vertical="bottom" textRotation="0" wrapText="false" indent="0" shrinkToFit="false"/>
      <protection locked="true" hidden="false"/>
    </xf>
    <xf numFmtId="175" fontId="51" fillId="12" borderId="13" xfId="0" applyFont="true" applyBorder="true" applyAlignment="true" applyProtection="true">
      <alignment horizontal="center" vertical="bottom" textRotation="0" wrapText="false" indent="0" shrinkToFit="false"/>
      <protection locked="false" hidden="false"/>
    </xf>
    <xf numFmtId="175" fontId="54" fillId="7" borderId="15" xfId="0" applyFont="true" applyBorder="true" applyAlignment="true" applyProtection="true">
      <alignment horizontal="center" vertical="bottom" textRotation="0" wrapText="false" indent="0" shrinkToFit="false"/>
      <protection locked="true" hidden="false"/>
    </xf>
    <xf numFmtId="167" fontId="49" fillId="0" borderId="2" xfId="0" applyFont="true" applyBorder="true" applyAlignment="true" applyProtection="true">
      <alignment horizontal="right" vertical="bottom" textRotation="0" wrapText="false" indent="0" shrinkToFit="false"/>
      <protection locked="true" hidden="false"/>
    </xf>
    <xf numFmtId="167" fontId="53" fillId="8" borderId="31" xfId="0" applyFont="true" applyBorder="true" applyAlignment="true" applyProtection="true">
      <alignment horizontal="center" vertical="bottom" textRotation="0" wrapText="false" indent="0" shrinkToFit="false"/>
      <protection locked="true" hidden="false"/>
    </xf>
    <xf numFmtId="167" fontId="50" fillId="8" borderId="31" xfId="0" applyFont="true" applyBorder="true" applyAlignment="true" applyProtection="true">
      <alignment horizontal="center" vertical="bottom" textRotation="0" wrapText="false" indent="0" shrinkToFit="false"/>
      <protection locked="true" hidden="false"/>
    </xf>
    <xf numFmtId="167" fontId="49" fillId="0" borderId="0" xfId="0" applyFont="true" applyBorder="true" applyAlignment="true" applyProtection="true">
      <alignment horizontal="center" vertical="bottom" textRotation="0" wrapText="false" indent="0" shrinkToFit="false"/>
      <protection locked="true" hidden="false"/>
    </xf>
    <xf numFmtId="167" fontId="49" fillId="0" borderId="0" xfId="0" applyFont="true" applyBorder="true" applyAlignment="true" applyProtection="true">
      <alignment horizontal="general" vertical="bottom" textRotation="0" wrapText="false" indent="0" shrinkToFit="false"/>
      <protection locked="true" hidden="false"/>
    </xf>
    <xf numFmtId="167" fontId="49" fillId="0" borderId="5" xfId="0" applyFont="true" applyBorder="true" applyAlignment="true" applyProtection="true">
      <alignment horizontal="right" vertical="bottom" textRotation="0" wrapText="false" indent="0" shrinkToFit="false"/>
      <protection locked="true" hidden="false"/>
    </xf>
    <xf numFmtId="167" fontId="49" fillId="0" borderId="5" xfId="0" applyFont="true" applyBorder="true" applyAlignment="true" applyProtection="true">
      <alignment horizontal="center" vertical="bottom" textRotation="0" wrapText="false" indent="0" shrinkToFit="false"/>
      <protection locked="true" hidden="false"/>
    </xf>
    <xf numFmtId="167" fontId="50" fillId="0" borderId="5" xfId="0" applyFont="true" applyBorder="true" applyAlignment="true" applyProtection="true">
      <alignment horizontal="center" vertical="bottom" textRotation="0" wrapText="false" indent="0" shrinkToFit="false"/>
      <protection locked="true" hidden="false"/>
    </xf>
    <xf numFmtId="164" fontId="7" fillId="16" borderId="9" xfId="0" applyFont="true" applyBorder="true" applyAlignment="false" applyProtection="true">
      <alignment horizontal="general" vertical="bottom" textRotation="0" wrapText="false" indent="0" shrinkToFit="false"/>
      <protection locked="true" hidden="false"/>
    </xf>
    <xf numFmtId="164" fontId="7" fillId="16" borderId="5" xfId="0" applyFont="true" applyBorder="true" applyAlignment="false" applyProtection="true">
      <alignment horizontal="general" vertical="bottom" textRotation="0" wrapText="false" indent="0" shrinkToFit="false"/>
      <protection locked="true" hidden="false"/>
    </xf>
    <xf numFmtId="164" fontId="53" fillId="16" borderId="5" xfId="0" applyFont="true" applyBorder="true" applyAlignment="true" applyProtection="true">
      <alignment horizontal="right" vertical="bottom" textRotation="0" wrapText="false" indent="0" shrinkToFit="false"/>
      <protection locked="true" hidden="false"/>
    </xf>
    <xf numFmtId="164" fontId="7" fillId="16" borderId="10" xfId="0" applyFont="true" applyBorder="true" applyAlignment="false" applyProtection="true">
      <alignment horizontal="general" vertical="bottom" textRotation="0" wrapText="false" indent="0" shrinkToFit="false"/>
      <protection locked="true" hidden="false"/>
    </xf>
    <xf numFmtId="164" fontId="7" fillId="16" borderId="13" xfId="0" applyFont="true" applyBorder="true" applyAlignment="false" applyProtection="true">
      <alignment horizontal="general" vertical="bottom" textRotation="0" wrapText="false" indent="0" shrinkToFit="false"/>
      <protection locked="true" hidden="false"/>
    </xf>
    <xf numFmtId="164" fontId="7" fillId="16" borderId="14" xfId="0" applyFont="true" applyBorder="true" applyAlignment="false" applyProtection="true">
      <alignment horizontal="general" vertical="bottom" textRotation="0" wrapText="false" indent="0" shrinkToFit="false"/>
      <protection locked="true" hidden="false"/>
    </xf>
    <xf numFmtId="164" fontId="53" fillId="16" borderId="14" xfId="0" applyFont="true" applyBorder="true" applyAlignment="true" applyProtection="false">
      <alignment horizontal="right" vertical="bottom" textRotation="0" wrapText="false" indent="0" shrinkToFit="false"/>
      <protection locked="true" hidden="false"/>
    </xf>
    <xf numFmtId="167" fontId="53" fillId="16" borderId="14" xfId="0" applyFont="true" applyBorder="true" applyAlignment="false" applyProtection="true">
      <alignment horizontal="general" vertical="bottom" textRotation="0" wrapText="false" indent="0" shrinkToFit="false"/>
      <protection locked="true" hidden="false"/>
    </xf>
    <xf numFmtId="167" fontId="53" fillId="16" borderId="14" xfId="0" applyFont="true" applyBorder="true" applyAlignment="true" applyProtection="true">
      <alignment horizontal="general" vertical="bottom" textRotation="0" wrapText="false" indent="0" shrinkToFit="false"/>
      <protection locked="true" hidden="false"/>
    </xf>
    <xf numFmtId="164" fontId="7" fillId="16" borderId="15" xfId="0" applyFont="true" applyBorder="true" applyAlignment="false" applyProtection="true">
      <alignment horizontal="general" vertical="bottom" textRotation="0" wrapText="false" indent="0" shrinkToFit="false"/>
      <protection locked="true" hidden="false"/>
    </xf>
    <xf numFmtId="167" fontId="7" fillId="0" borderId="0" xfId="0" applyFont="true" applyBorder="false" applyAlignment="false" applyProtection="true">
      <alignment horizontal="general" vertical="bottom" textRotation="0" wrapText="false" indent="0" shrinkToFit="false"/>
      <protection locked="true" hidden="false"/>
    </xf>
    <xf numFmtId="164" fontId="7" fillId="3" borderId="8" xfId="0" applyFont="true" applyBorder="true" applyAlignment="false" applyProtection="true">
      <alignment horizontal="general" vertical="bottom" textRotation="0" wrapText="false" indent="0" shrinkToFit="false"/>
      <protection locked="true" hidden="false"/>
    </xf>
    <xf numFmtId="164" fontId="53" fillId="3" borderId="8" xfId="0" applyFont="true" applyBorder="true" applyAlignment="true" applyProtection="true">
      <alignment horizontal="right" vertical="bottom" textRotation="0" wrapText="false" indent="0" shrinkToFit="false"/>
      <protection locked="true" hidden="false"/>
    </xf>
    <xf numFmtId="167" fontId="53" fillId="3" borderId="8" xfId="0" applyFont="true" applyBorder="true" applyAlignment="true" applyProtection="true">
      <alignment horizontal="right" vertical="bottom" textRotation="0" wrapText="false" indent="0" shrinkToFit="false"/>
      <protection locked="true" hidden="false"/>
    </xf>
    <xf numFmtId="167" fontId="53" fillId="3" borderId="8" xfId="0" applyFont="true" applyBorder="true" applyAlignment="true" applyProtection="true">
      <alignment horizontal="general" vertical="bottom" textRotation="0" wrapText="false" indent="0" shrinkToFit="false"/>
      <protection locked="true" hidden="false"/>
    </xf>
    <xf numFmtId="164" fontId="53" fillId="3" borderId="7" xfId="0" applyFont="true" applyBorder="true" applyAlignment="false" applyProtection="true">
      <alignment horizontal="general" vertical="bottom" textRotation="0" wrapText="false" indent="0" shrinkToFit="false"/>
      <protection locked="true" hidden="false"/>
    </xf>
    <xf numFmtId="164" fontId="7" fillId="17" borderId="32" xfId="0" applyFont="true" applyBorder="true" applyAlignment="false" applyProtection="true">
      <alignment horizontal="general" vertical="bottom" textRotation="0" wrapText="false" indent="0" shrinkToFit="false"/>
      <protection locked="true" hidden="false"/>
    </xf>
    <xf numFmtId="164" fontId="7" fillId="17" borderId="33" xfId="0" applyFont="true" applyBorder="true" applyAlignment="false" applyProtection="true">
      <alignment horizontal="general" vertical="bottom" textRotation="0" wrapText="false" indent="0" shrinkToFit="false"/>
      <protection locked="true" hidden="false"/>
    </xf>
    <xf numFmtId="164" fontId="32" fillId="17" borderId="32" xfId="0" applyFont="true" applyBorder="true" applyAlignment="true" applyProtection="true">
      <alignment horizontal="left" vertical="bottom" textRotation="0" wrapText="true" indent="0" shrinkToFit="false"/>
      <protection locked="true" hidden="false"/>
    </xf>
    <xf numFmtId="164" fontId="7" fillId="17" borderId="34" xfId="0" applyFont="true" applyBorder="true" applyAlignment="false" applyProtection="true">
      <alignment horizontal="general" vertical="bottom" textRotation="0" wrapText="false" indent="0" shrinkToFit="false"/>
      <protection locked="true" hidden="false"/>
    </xf>
    <xf numFmtId="164" fontId="7" fillId="17" borderId="35" xfId="0" applyFont="true" applyBorder="true" applyAlignment="false" applyProtection="true">
      <alignment horizontal="general" vertical="bottom" textRotation="0" wrapText="false" indent="0" shrinkToFit="false"/>
      <protection locked="true" hidden="false"/>
    </xf>
    <xf numFmtId="164" fontId="58" fillId="17" borderId="33" xfId="0" applyFont="true" applyBorder="true" applyAlignment="false" applyProtection="true">
      <alignment horizontal="general" vertical="bottom" textRotation="0" wrapText="false" indent="0" shrinkToFit="false"/>
      <protection locked="true" hidden="false"/>
    </xf>
    <xf numFmtId="164" fontId="59" fillId="17" borderId="33" xfId="0" applyFont="true" applyBorder="true" applyAlignment="false" applyProtection="true">
      <alignment horizontal="general" vertical="bottom" textRotation="0" wrapText="false" indent="0" shrinkToFit="false"/>
      <protection locked="true" hidden="false"/>
    </xf>
    <xf numFmtId="164" fontId="58" fillId="17" borderId="34" xfId="0" applyFont="true" applyBorder="true" applyAlignment="false" applyProtection="true">
      <alignment horizontal="general" vertical="bottom" textRotation="0" wrapText="false" indent="0" shrinkToFit="false"/>
      <protection locked="true" hidden="false"/>
    </xf>
    <xf numFmtId="164" fontId="7" fillId="0" borderId="0" xfId="0" applyFont="true" applyBorder="false" applyAlignment="true" applyProtection="true">
      <alignment horizontal="center" vertical="bottom" textRotation="0" wrapText="false" indent="0" shrinkToFit="false"/>
      <protection locked="true" hidden="false"/>
    </xf>
    <xf numFmtId="167" fontId="37" fillId="15" borderId="9" xfId="0" applyFont="true" applyBorder="true" applyAlignment="true" applyProtection="true">
      <alignment horizontal="center" vertical="bottom" textRotation="0" wrapText="true" indent="0" shrinkToFit="false"/>
      <protection locked="true" hidden="false"/>
    </xf>
    <xf numFmtId="167" fontId="37" fillId="15" borderId="10" xfId="0" applyFont="true" applyBorder="true" applyAlignment="true" applyProtection="true">
      <alignment horizontal="center" vertical="bottom" textRotation="0" wrapText="true" indent="0" shrinkToFit="false"/>
      <protection locked="true" hidden="false"/>
    </xf>
    <xf numFmtId="167" fontId="55" fillId="16" borderId="6" xfId="0" applyFont="true" applyBorder="true" applyAlignment="true" applyProtection="true">
      <alignment horizontal="center" vertical="bottom" textRotation="0" wrapText="true" indent="0" shrinkToFit="false"/>
      <protection locked="true" hidden="false"/>
    </xf>
    <xf numFmtId="167" fontId="55" fillId="16" borderId="7" xfId="0" applyFont="true" applyBorder="true" applyAlignment="true" applyProtection="true">
      <alignment horizontal="center" vertical="bottom" textRotation="0" wrapText="true" indent="0" shrinkToFit="false"/>
      <protection locked="true" hidden="false"/>
    </xf>
    <xf numFmtId="167" fontId="55" fillId="15" borderId="6" xfId="0" applyFont="true" applyBorder="true" applyAlignment="true" applyProtection="true">
      <alignment horizontal="center" vertical="top" textRotation="0" wrapText="true" indent="0" shrinkToFit="false"/>
      <protection locked="true" hidden="false"/>
    </xf>
    <xf numFmtId="167" fontId="55" fillId="15" borderId="7" xfId="0" applyFont="true" applyBorder="true" applyAlignment="true" applyProtection="true">
      <alignment horizontal="center" vertical="bottom" textRotation="0" wrapText="true" indent="0" shrinkToFit="false"/>
      <protection locked="true" hidden="false"/>
    </xf>
    <xf numFmtId="167" fontId="55" fillId="15" borderId="6" xfId="0" applyFont="true" applyBorder="true" applyAlignment="true" applyProtection="true">
      <alignment horizontal="center" vertical="bottom" textRotation="0" wrapText="true" indent="0" shrinkToFit="false"/>
      <protection locked="true" hidden="false"/>
    </xf>
    <xf numFmtId="164" fontId="60" fillId="7" borderId="6" xfId="0" applyFont="true" applyBorder="true" applyAlignment="false" applyProtection="true">
      <alignment horizontal="general" vertical="bottom" textRotation="0" wrapText="false" indent="0" shrinkToFit="false"/>
      <protection locked="true" hidden="false"/>
    </xf>
    <xf numFmtId="164" fontId="7" fillId="7" borderId="7" xfId="0" applyFont="true" applyBorder="true" applyAlignment="false" applyProtection="true">
      <alignment horizontal="general" vertical="bottom" textRotation="0" wrapText="false" indent="0" shrinkToFit="false"/>
      <protection locked="true" hidden="false"/>
    </xf>
    <xf numFmtId="175" fontId="55" fillId="7" borderId="6" xfId="0" applyFont="true" applyBorder="true" applyAlignment="true" applyProtection="true">
      <alignment horizontal="center" vertical="bottom" textRotation="0" wrapText="false" indent="0" shrinkToFit="false"/>
      <protection locked="true" hidden="false"/>
    </xf>
    <xf numFmtId="175" fontId="55" fillId="7" borderId="7" xfId="0" applyFont="true" applyBorder="true" applyAlignment="true" applyProtection="true">
      <alignment horizontal="center" vertical="bottom" textRotation="0" wrapText="false" indent="0" shrinkToFit="false"/>
      <protection locked="true" hidden="false"/>
    </xf>
    <xf numFmtId="175" fontId="55" fillId="7" borderId="8" xfId="0" applyFont="true" applyBorder="true" applyAlignment="true" applyProtection="true">
      <alignment horizontal="center" vertical="bottom" textRotation="0" wrapText="false" indent="0" shrinkToFit="false"/>
      <protection locked="true" hidden="false"/>
    </xf>
    <xf numFmtId="164" fontId="60" fillId="8" borderId="6" xfId="0" applyFont="true" applyBorder="true" applyAlignment="false" applyProtection="true">
      <alignment horizontal="general" vertical="bottom" textRotation="0" wrapText="false" indent="0" shrinkToFit="false"/>
      <protection locked="true" hidden="false"/>
    </xf>
    <xf numFmtId="164" fontId="7" fillId="8" borderId="7" xfId="0" applyFont="true" applyBorder="true" applyAlignment="false" applyProtection="true">
      <alignment horizontal="general" vertical="bottom" textRotation="0" wrapText="false" indent="0" shrinkToFit="false"/>
      <protection locked="true" hidden="false"/>
    </xf>
    <xf numFmtId="175" fontId="55" fillId="8" borderId="6" xfId="0" applyFont="true" applyBorder="true" applyAlignment="true" applyProtection="true">
      <alignment horizontal="center" vertical="bottom" textRotation="0" wrapText="false" indent="0" shrinkToFit="false"/>
      <protection locked="true" hidden="false"/>
    </xf>
    <xf numFmtId="175" fontId="55" fillId="8" borderId="7" xfId="0" applyFont="true" applyBorder="true" applyAlignment="true" applyProtection="true">
      <alignment horizontal="center" vertical="bottom" textRotation="0" wrapText="false" indent="0" shrinkToFit="false"/>
      <protection locked="true" hidden="false"/>
    </xf>
    <xf numFmtId="175" fontId="55" fillId="8" borderId="5" xfId="0" applyFont="true" applyBorder="true" applyAlignment="true" applyProtection="true">
      <alignment horizontal="center" vertical="bottom" textRotation="0" wrapText="false" indent="0" shrinkToFit="false"/>
      <protection locked="true" hidden="false"/>
    </xf>
    <xf numFmtId="175" fontId="55" fillId="8" borderId="9" xfId="0" applyFont="true" applyBorder="true" applyAlignment="true" applyProtection="true">
      <alignment horizontal="center" vertical="bottom" textRotation="0" wrapText="false" indent="0" shrinkToFit="false"/>
      <protection locked="true" hidden="false"/>
    </xf>
    <xf numFmtId="175" fontId="55" fillId="8" borderId="10" xfId="0" applyFont="true" applyBorder="true" applyAlignment="true" applyProtection="true">
      <alignment horizontal="center" vertical="bottom" textRotation="0" wrapText="false" indent="0" shrinkToFit="false"/>
      <protection locked="true" hidden="false"/>
    </xf>
    <xf numFmtId="164" fontId="60" fillId="7" borderId="13" xfId="0" applyFont="true" applyBorder="true" applyAlignment="false" applyProtection="true">
      <alignment horizontal="general" vertical="bottom" textRotation="0" wrapText="false" indent="0" shrinkToFit="false"/>
      <protection locked="true" hidden="false"/>
    </xf>
    <xf numFmtId="164" fontId="7" fillId="7" borderId="15" xfId="0" applyFont="true" applyBorder="true" applyAlignment="false" applyProtection="true">
      <alignment horizontal="general" vertical="bottom" textRotation="0" wrapText="false" indent="0" shrinkToFit="false"/>
      <protection locked="true" hidden="false"/>
    </xf>
    <xf numFmtId="175" fontId="55" fillId="8" borderId="0" xfId="0" applyFont="true" applyBorder="true" applyAlignment="true" applyProtection="true">
      <alignment horizontal="center" vertical="bottom" textRotation="0" wrapText="false" indent="0" shrinkToFit="false"/>
      <protection locked="true" hidden="false"/>
    </xf>
    <xf numFmtId="175" fontId="55" fillId="8" borderId="11" xfId="0" applyFont="true" applyBorder="true" applyAlignment="true" applyProtection="true">
      <alignment horizontal="center" vertical="bottom" textRotation="0" wrapText="false" indent="0" shrinkToFit="false"/>
      <protection locked="true" hidden="false"/>
    </xf>
    <xf numFmtId="175" fontId="55" fillId="8" borderId="12" xfId="0" applyFont="true" applyBorder="true" applyAlignment="true" applyProtection="true">
      <alignment horizontal="center" vertical="bottom" textRotation="0" wrapText="false" indent="0" shrinkToFit="false"/>
      <protection locked="true" hidden="false"/>
    </xf>
    <xf numFmtId="167" fontId="49" fillId="8" borderId="6" xfId="0" applyFont="true" applyBorder="true" applyAlignment="true" applyProtection="true">
      <alignment horizontal="right" vertical="bottom" textRotation="0" wrapText="false" indent="0" shrinkToFit="false"/>
      <protection locked="true" hidden="false"/>
    </xf>
    <xf numFmtId="167" fontId="50" fillId="8" borderId="8" xfId="0" applyFont="true" applyBorder="true" applyAlignment="true" applyProtection="true">
      <alignment horizontal="center" vertical="bottom" textRotation="0" wrapText="false" indent="0" shrinkToFit="false"/>
      <protection locked="true" hidden="false"/>
    </xf>
    <xf numFmtId="167" fontId="49" fillId="8" borderId="8" xfId="0" applyFont="true" applyBorder="true" applyAlignment="true" applyProtection="true">
      <alignment horizontal="center" vertical="bottom" textRotation="0" wrapText="false" indent="0" shrinkToFit="false"/>
      <protection locked="true" hidden="false"/>
    </xf>
    <xf numFmtId="164" fontId="7" fillId="8" borderId="7" xfId="0" applyFont="true" applyBorder="true" applyAlignment="true" applyProtection="true">
      <alignment horizontal="right" vertical="bottom" textRotation="0" wrapText="false" indent="0" shrinkToFit="false"/>
      <protection locked="true" hidden="false"/>
    </xf>
    <xf numFmtId="174" fontId="49" fillId="8" borderId="8" xfId="0" applyFont="true" applyBorder="true" applyAlignment="true" applyProtection="true">
      <alignment horizontal="center" vertical="bottom" textRotation="0" wrapText="false" indent="0" shrinkToFit="false"/>
      <protection locked="true" hidden="false"/>
    </xf>
    <xf numFmtId="174" fontId="49" fillId="8" borderId="6" xfId="0" applyFont="true" applyBorder="true" applyAlignment="true" applyProtection="true">
      <alignment horizontal="center" vertical="bottom" textRotation="0" wrapText="false" indent="0" shrinkToFit="false"/>
      <protection locked="true" hidden="false"/>
    </xf>
    <xf numFmtId="174" fontId="49" fillId="8" borderId="7" xfId="0" applyFont="true" applyBorder="true" applyAlignment="true" applyProtection="true">
      <alignment horizontal="center" vertical="bottom" textRotation="0" wrapText="false" indent="0" shrinkToFit="false"/>
      <protection locked="true" hidden="false"/>
    </xf>
    <xf numFmtId="164" fontId="7" fillId="7" borderId="6" xfId="0" applyFont="true" applyBorder="true" applyAlignment="false" applyProtection="true">
      <alignment horizontal="general" vertical="bottom" textRotation="0" wrapText="false" indent="0" shrinkToFit="false"/>
      <protection locked="true" hidden="false"/>
    </xf>
    <xf numFmtId="164" fontId="7" fillId="7" borderId="8" xfId="0" applyFont="true" applyBorder="true" applyAlignment="false" applyProtection="true">
      <alignment horizontal="general" vertical="bottom" textRotation="0" wrapText="false" indent="0" shrinkToFit="false"/>
      <protection locked="true" hidden="false"/>
    </xf>
    <xf numFmtId="167" fontId="7" fillId="7" borderId="7" xfId="0" applyFont="true" applyBorder="true" applyAlignment="true" applyProtection="true">
      <alignment horizontal="right" vertical="bottom" textRotation="0" wrapText="false" indent="0" shrinkToFit="false"/>
      <protection locked="true" hidden="false"/>
    </xf>
    <xf numFmtId="174" fontId="49" fillId="7" borderId="8" xfId="0" applyFont="true" applyBorder="true" applyAlignment="true" applyProtection="true">
      <alignment horizontal="center" vertical="bottom" textRotation="0" wrapText="false" indent="0" shrinkToFit="false"/>
      <protection locked="true" hidden="false"/>
    </xf>
    <xf numFmtId="174" fontId="49" fillId="7" borderId="6" xfId="0" applyFont="true" applyBorder="true" applyAlignment="true" applyProtection="true">
      <alignment horizontal="center" vertical="bottom" textRotation="0" wrapText="false" indent="0" shrinkToFit="false"/>
      <protection locked="true" hidden="false"/>
    </xf>
    <xf numFmtId="174" fontId="49" fillId="7" borderId="7" xfId="0" applyFont="true" applyBorder="true" applyAlignment="true" applyProtection="true">
      <alignment horizontal="center" vertical="bottom" textRotation="0" wrapText="false" indent="0" shrinkToFit="false"/>
      <protection locked="true" hidden="false"/>
    </xf>
    <xf numFmtId="164" fontId="7" fillId="7" borderId="5" xfId="0" applyFont="true" applyBorder="true" applyAlignment="false" applyProtection="true">
      <alignment horizontal="general" vertical="bottom" textRotation="0" wrapText="false" indent="0" shrinkToFit="false"/>
      <protection locked="true" hidden="false"/>
    </xf>
    <xf numFmtId="164" fontId="50" fillId="7" borderId="5" xfId="0" applyFont="true" applyBorder="true" applyAlignment="true" applyProtection="true">
      <alignment horizontal="right" vertical="bottom" textRotation="0" wrapText="false" indent="0" shrinkToFit="false"/>
      <protection locked="true" hidden="false"/>
    </xf>
    <xf numFmtId="167" fontId="52" fillId="7" borderId="2" xfId="0" applyFont="true" applyBorder="true" applyAlignment="true" applyProtection="true">
      <alignment horizontal="right" vertical="bottom" textRotation="0" wrapText="false" indent="0" shrinkToFit="false"/>
      <protection locked="true" hidden="false"/>
    </xf>
    <xf numFmtId="167" fontId="49" fillId="7" borderId="9" xfId="0" applyFont="true" applyBorder="true" applyAlignment="true" applyProtection="true">
      <alignment horizontal="general" vertical="bottom" textRotation="0" wrapText="false" indent="0" shrinkToFit="false"/>
      <protection locked="true" hidden="false"/>
    </xf>
    <xf numFmtId="164" fontId="49" fillId="7" borderId="5" xfId="0" applyFont="true" applyBorder="true" applyAlignment="false" applyProtection="true">
      <alignment horizontal="general" vertical="bottom" textRotation="0" wrapText="false" indent="0" shrinkToFit="false"/>
      <protection locked="true" hidden="false"/>
    </xf>
    <xf numFmtId="164" fontId="7" fillId="7" borderId="10" xfId="0" applyFont="true" applyBorder="true" applyAlignment="false" applyProtection="false">
      <alignment horizontal="general" vertical="bottom" textRotation="0" wrapText="false" indent="0" shrinkToFit="false"/>
      <protection locked="true" hidden="false"/>
    </xf>
    <xf numFmtId="164" fontId="7" fillId="16" borderId="11" xfId="0" applyFont="true" applyBorder="true" applyAlignment="false" applyProtection="true">
      <alignment horizontal="general" vertical="bottom" textRotation="0" wrapText="false" indent="0" shrinkToFit="false"/>
      <protection locked="true" hidden="false"/>
    </xf>
    <xf numFmtId="164" fontId="7" fillId="16" borderId="0" xfId="0" applyFont="true" applyBorder="true" applyAlignment="false" applyProtection="true">
      <alignment horizontal="general" vertical="bottom" textRotation="0" wrapText="false" indent="0" shrinkToFit="false"/>
      <protection locked="true" hidden="false"/>
    </xf>
    <xf numFmtId="164" fontId="50" fillId="16" borderId="0" xfId="0" applyFont="true" applyBorder="true" applyAlignment="true" applyProtection="true">
      <alignment horizontal="right" vertical="bottom" textRotation="0" wrapText="false" indent="0" shrinkToFit="false"/>
      <protection locked="true" hidden="false"/>
    </xf>
    <xf numFmtId="167" fontId="32" fillId="16" borderId="36" xfId="0" applyFont="true" applyBorder="true" applyAlignment="false" applyProtection="true">
      <alignment horizontal="general" vertical="bottom" textRotation="0" wrapText="false" indent="0" shrinkToFit="false"/>
      <protection locked="true" hidden="false"/>
    </xf>
    <xf numFmtId="167" fontId="49" fillId="8" borderId="11" xfId="0" applyFont="true" applyBorder="true" applyAlignment="true" applyProtection="true">
      <alignment horizontal="general" vertical="bottom" textRotation="0" wrapText="false" indent="0" shrinkToFit="false"/>
      <protection locked="true" hidden="false"/>
    </xf>
    <xf numFmtId="164" fontId="49" fillId="8" borderId="0" xfId="0" applyFont="true" applyBorder="true" applyAlignment="false" applyProtection="true">
      <alignment horizontal="general" vertical="bottom" textRotation="0" wrapText="false" indent="0" shrinkToFit="false"/>
      <protection locked="true" hidden="false"/>
    </xf>
    <xf numFmtId="167" fontId="49" fillId="8" borderId="12" xfId="0" applyFont="true" applyBorder="true" applyAlignment="true" applyProtection="true">
      <alignment horizontal="left" vertical="bottom" textRotation="0" wrapText="false" indent="0" shrinkToFit="false"/>
      <protection locked="true" hidden="false"/>
    </xf>
    <xf numFmtId="164" fontId="49" fillId="0" borderId="0" xfId="0" applyFont="true" applyBorder="false" applyAlignment="false" applyProtection="true">
      <alignment horizontal="general" vertical="bottom" textRotation="0" wrapText="false" indent="0" shrinkToFit="false"/>
      <protection locked="true" hidden="false"/>
    </xf>
    <xf numFmtId="164" fontId="7" fillId="3" borderId="11" xfId="0" applyFont="true" applyBorder="true" applyAlignment="false" applyProtection="true">
      <alignment horizontal="general" vertical="bottom" textRotation="0" wrapText="false" indent="0" shrinkToFit="false"/>
      <protection locked="true" hidden="false"/>
    </xf>
    <xf numFmtId="164" fontId="7" fillId="3" borderId="0" xfId="0" applyFont="true" applyBorder="false" applyAlignment="false" applyProtection="true">
      <alignment horizontal="general" vertical="bottom" textRotation="0" wrapText="false" indent="0" shrinkToFit="false"/>
      <protection locked="true" hidden="false"/>
    </xf>
    <xf numFmtId="167" fontId="50" fillId="3" borderId="0" xfId="0" applyFont="true" applyBorder="true" applyAlignment="true" applyProtection="true">
      <alignment horizontal="right" vertical="bottom" textRotation="0" wrapText="false" indent="0" shrinkToFit="false"/>
      <protection locked="true" hidden="false"/>
    </xf>
    <xf numFmtId="167" fontId="32" fillId="18" borderId="2" xfId="0" applyFont="true" applyBorder="true" applyAlignment="true" applyProtection="true">
      <alignment horizontal="right" vertical="bottom" textRotation="0" wrapText="false" indent="0" shrinkToFit="false"/>
      <protection locked="true" hidden="false"/>
    </xf>
    <xf numFmtId="167" fontId="49" fillId="7" borderId="11" xfId="0" applyFont="true" applyBorder="true" applyAlignment="true" applyProtection="true">
      <alignment horizontal="general" vertical="bottom" textRotation="0" wrapText="false" indent="0" shrinkToFit="false"/>
      <protection locked="true" hidden="false"/>
    </xf>
    <xf numFmtId="164" fontId="49" fillId="7" borderId="0" xfId="0" applyFont="true" applyBorder="true" applyAlignment="false" applyProtection="true">
      <alignment horizontal="general" vertical="bottom" textRotation="0" wrapText="false" indent="0" shrinkToFit="false"/>
      <protection locked="true" hidden="false"/>
    </xf>
    <xf numFmtId="164" fontId="49" fillId="7" borderId="12" xfId="0" applyFont="true" applyBorder="true" applyAlignment="false" applyProtection="true">
      <alignment horizontal="general" vertical="bottom" textRotation="0" wrapText="false" indent="0" shrinkToFit="false"/>
      <protection locked="true" hidden="false"/>
    </xf>
    <xf numFmtId="164" fontId="7" fillId="8" borderId="0" xfId="0" applyFont="true" applyBorder="false" applyAlignment="false" applyProtection="true">
      <alignment horizontal="general" vertical="bottom" textRotation="0" wrapText="false" indent="0" shrinkToFit="false"/>
      <protection locked="true" hidden="false"/>
    </xf>
    <xf numFmtId="167" fontId="49" fillId="8" borderId="0" xfId="0" applyFont="true" applyBorder="true" applyAlignment="true" applyProtection="true">
      <alignment horizontal="right" vertical="bottom" textRotation="0" wrapText="false" indent="0" shrinkToFit="false"/>
      <protection locked="true" hidden="false"/>
    </xf>
    <xf numFmtId="168" fontId="49" fillId="8" borderId="2" xfId="0" applyFont="true" applyBorder="true" applyAlignment="false" applyProtection="true">
      <alignment horizontal="general" vertical="bottom" textRotation="0" wrapText="false" indent="0" shrinkToFit="false"/>
      <protection locked="true" hidden="false"/>
    </xf>
    <xf numFmtId="164" fontId="7" fillId="8" borderId="12" xfId="0" applyFont="true" applyBorder="true" applyAlignment="false" applyProtection="false">
      <alignment horizontal="general" vertical="bottom" textRotation="0" wrapText="false" indent="0" shrinkToFit="false"/>
      <protection locked="true" hidden="false"/>
    </xf>
    <xf numFmtId="164" fontId="49" fillId="0" borderId="0" xfId="0" applyFont="true" applyBorder="false" applyAlignment="false" applyProtection="true">
      <alignment horizontal="general" vertical="bottom" textRotation="0" wrapText="false" indent="0" shrinkToFit="false"/>
      <protection locked="true" hidden="false"/>
    </xf>
    <xf numFmtId="164" fontId="7" fillId="7" borderId="14" xfId="0" applyFont="true" applyBorder="true" applyAlignment="false" applyProtection="true">
      <alignment horizontal="general" vertical="bottom" textRotation="0" wrapText="false" indent="0" shrinkToFit="false"/>
      <protection locked="true" hidden="false"/>
    </xf>
    <xf numFmtId="164" fontId="49" fillId="7" borderId="14" xfId="0" applyFont="true" applyBorder="true" applyAlignment="true" applyProtection="true">
      <alignment horizontal="right" vertical="bottom" textRotation="0" wrapText="false" indent="0" shrinkToFit="false"/>
      <protection locked="true" hidden="false"/>
    </xf>
    <xf numFmtId="168" fontId="49" fillId="7" borderId="2" xfId="0" applyFont="true" applyBorder="true" applyAlignment="false" applyProtection="true">
      <alignment horizontal="general" vertical="bottom" textRotation="0" wrapText="false" indent="0" shrinkToFit="false"/>
      <protection locked="true" hidden="false"/>
    </xf>
    <xf numFmtId="164" fontId="49" fillId="7" borderId="13" xfId="0" applyFont="true" applyBorder="true" applyAlignment="false" applyProtection="true">
      <alignment horizontal="general" vertical="bottom" textRotation="0" wrapText="false" indent="0" shrinkToFit="false"/>
      <protection locked="true" hidden="false"/>
    </xf>
    <xf numFmtId="164" fontId="49" fillId="7" borderId="14" xfId="0" applyFont="true" applyBorder="true" applyAlignment="false" applyProtection="true">
      <alignment horizontal="general" vertical="bottom" textRotation="0" wrapText="false" indent="0" shrinkToFit="false"/>
      <protection locked="true" hidden="false"/>
    </xf>
    <xf numFmtId="164" fontId="49" fillId="7" borderId="15" xfId="0" applyFont="true" applyBorder="true" applyAlignment="false" applyProtection="true">
      <alignment horizontal="general" vertical="bottom" textRotation="0" wrapText="false" indent="0" shrinkToFit="false"/>
      <protection locked="true" hidden="false"/>
    </xf>
    <xf numFmtId="167" fontId="32" fillId="3" borderId="2" xfId="0" applyFont="true" applyBorder="true" applyAlignment="true" applyProtection="true">
      <alignment horizontal="right" vertical="bottom" textRotation="0" wrapText="false" indent="0" shrinkToFit="false"/>
      <protection locked="true" hidden="false"/>
    </xf>
    <xf numFmtId="167" fontId="47" fillId="0" borderId="0" xfId="0" applyFont="true" applyBorder="true" applyAlignment="true" applyProtection="true">
      <alignment horizontal="general" vertical="bottom" textRotation="0" wrapText="false" indent="0" shrinkToFit="false"/>
      <protection locked="true" hidden="false"/>
    </xf>
    <xf numFmtId="174" fontId="49" fillId="8" borderId="1" xfId="0" applyFont="true" applyBorder="true" applyAlignment="true" applyProtection="true">
      <alignment horizontal="center" vertical="bottom" textRotation="0" wrapText="false" indent="0" shrinkToFit="false"/>
      <protection locked="true" hidden="false"/>
    </xf>
    <xf numFmtId="174" fontId="49" fillId="7" borderId="1" xfId="0" applyFont="true" applyBorder="true" applyAlignment="true" applyProtection="true">
      <alignment horizontal="center" vertical="bottom" textRotation="0" wrapText="false" indent="0" shrinkToFit="false"/>
      <protection locked="true" hidden="false"/>
    </xf>
    <xf numFmtId="174" fontId="49" fillId="7" borderId="2" xfId="0" applyFont="true" applyBorder="true" applyAlignment="true" applyProtection="true">
      <alignment horizontal="center" vertical="bottom" textRotation="0" wrapText="false" indent="0" shrinkToFit="false"/>
      <protection locked="true" hidden="false"/>
    </xf>
  </cellXfs>
  <cellStyles count="11">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Result" xfId="21" builtinId="53" customBuiltin="true"/>
    <cellStyle name="Result2" xfId="22" builtinId="53" customBuiltin="true"/>
    <cellStyle name="Heading" xfId="23" builtinId="53" customBuiltin="true"/>
    <cellStyle name="Heading1" xfId="24" builtinId="53" customBuiltin="true"/>
    <cellStyle name="*unknown*" xfId="20" builtinId="8" customBuiltin="false"/>
  </cellStyles>
  <colors>
    <indexedColors>
      <rgbColor rgb="FF000000"/>
      <rgbColor rgb="FFFFFFFF"/>
      <rgbColor rgb="FFFF0000"/>
      <rgbColor rgb="FF23FF23"/>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FF3333"/>
      <rgbColor rgb="FFEEEEEE"/>
      <rgbColor rgb="FFCCFFFF"/>
      <rgbColor rgb="FF660066"/>
      <rgbColor rgb="FFFF8080"/>
      <rgbColor rgb="FF0066CC"/>
      <rgbColor rgb="FFDDDDDD"/>
      <rgbColor rgb="FF000080"/>
      <rgbColor rgb="FFFF00FF"/>
      <rgbColor rgb="FFE6E64C"/>
      <rgbColor rgb="FF00FFFF"/>
      <rgbColor rgb="FF800080"/>
      <rgbColor rgb="FF800000"/>
      <rgbColor rgb="FF008080"/>
      <rgbColor rgb="FF0000CC"/>
      <rgbColor rgb="FF00DCFF"/>
      <rgbColor rgb="FFE6E6E6"/>
      <rgbColor rgb="FFCCFFCC"/>
      <rgbColor rgb="FFFFFF99"/>
      <rgbColor rgb="FF99CCFF"/>
      <rgbColor rgb="FFFF99CC"/>
      <rgbColor rgb="FFCC99FF"/>
      <rgbColor rgb="FFFFCCFF"/>
      <rgbColor rgb="FF3366FF"/>
      <rgbColor rgb="FF33CCCC"/>
      <rgbColor rgb="FF99FF66"/>
      <rgbColor rgb="FFFFCC00"/>
      <rgbColor rgb="FFFFD320"/>
      <rgbColor rgb="FFFF420E"/>
      <rgbColor rgb="FF666699"/>
      <rgbColor rgb="FF969696"/>
      <rgbColor rgb="FF003366"/>
      <rgbColor rgb="FF339966"/>
      <rgbColor rgb="FF003300"/>
      <rgbColor rgb="FF333300"/>
      <rgbColor rgb="FF993300"/>
      <rgbColor rgb="FF993366"/>
      <rgbColor rgb="FF3333FF"/>
      <rgbColor rgb="FF3C3C3C"/>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sharedStrings" Target="sharedStrings.xml"/>
</Relationships>
</file>

<file path=xl/charts/chart10.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solidFill>
                  <a:srgbClr val="000000"/>
                </a:solidFill>
                <a:uFill>
                  <a:solidFill>
                    <a:srgbClr val="ffffff"/>
                  </a:solidFill>
                </a:uFill>
                <a:latin typeface="Arial"/>
              </a:defRPr>
            </a:pPr>
            <a:r>
              <a:rPr b="0" sz="1300" spc="-1" strike="noStrike">
                <a:solidFill>
                  <a:srgbClr val="000000"/>
                </a:solidFill>
                <a:uFill>
                  <a:solidFill>
                    <a:srgbClr val="ffffff"/>
                  </a:solidFill>
                </a:uFill>
                <a:latin typeface="Arial"/>
              </a:rPr>
              <a:t>Average Farm Cover - Target vs Forecasted</a:t>
            </a:r>
          </a:p>
        </c:rich>
      </c:tx>
      <c:layout>
        <c:manualLayout>
          <c:xMode val="edge"/>
          <c:yMode val="edge"/>
          <c:x val="0.104465866614204"/>
          <c:y val="0.0290132435122101"/>
        </c:manualLayout>
      </c:layout>
      <c:overlay val="0"/>
    </c:title>
    <c:autoTitleDeleted val="0"/>
    <c:plotArea>
      <c:layout>
        <c:manualLayout>
          <c:layoutTarget val="inner"/>
          <c:xMode val="edge"/>
          <c:yMode val="edge"/>
          <c:x val="0.138599252409994"/>
          <c:y val="0.107172931179668"/>
          <c:w val="0.756836513869762"/>
          <c:h val="0.712546888157391"/>
        </c:manualLayout>
      </c:layout>
      <c:lineChart>
        <c:grouping val="standard"/>
        <c:varyColors val="0"/>
        <c:ser>
          <c:idx val="0"/>
          <c:order val="0"/>
          <c:tx>
            <c:strRef>
              <c:f>Graph!$E$3</c:f>
              <c:strCache>
                <c:ptCount val="1"/>
                <c:pt idx="0">
                  <c:v>Target Av. Farm Cover kg DM/ha</c:v>
                </c:pt>
              </c:strCache>
            </c:strRef>
          </c:tx>
          <c:spPr>
            <a:solidFill>
              <a:srgbClr val="000080"/>
            </a:solidFill>
            <a:ln w="25200">
              <a:solidFill>
                <a:srgbClr val="000080"/>
              </a:solidFill>
              <a:round/>
            </a:ln>
          </c:spPr>
          <c:marker>
            <c:symbol val="diamond"/>
            <c:size val="5"/>
            <c:spPr>
              <a:solidFill>
                <a:srgbClr val="000080"/>
              </a:solidFill>
            </c:spPr>
          </c:marker>
          <c:dLbls>
            <c:dLbl>
              <c:idx val="4"/>
              <c:dLblPos val="b"/>
              <c:showLegendKey val="0"/>
              <c:showVal val="1"/>
              <c:showCatName val="0"/>
              <c:showSerName val="0"/>
              <c:showPercent val="0"/>
            </c:dLbl>
            <c:dLblPos val="b"/>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Graph!$E$4:$E$15</c:f>
              <c:numCache>
                <c:formatCode>General</c:formatCode>
                <c:ptCount val="12"/>
                <c:pt idx="0">
                  <c:v>2000</c:v>
                </c:pt>
                <c:pt idx="1">
                  <c:v>2200</c:v>
                </c:pt>
                <c:pt idx="2">
                  <c:v>2300</c:v>
                </c:pt>
                <c:pt idx="3">
                  <c:v>2500</c:v>
                </c:pt>
                <c:pt idx="4">
                  <c:v>2000</c:v>
                </c:pt>
                <c:pt idx="5">
                  <c:v>1800</c:v>
                </c:pt>
                <c:pt idx="6">
                  <c:v>2200</c:v>
                </c:pt>
                <c:pt idx="7">
                  <c:v>2500</c:v>
                </c:pt>
                <c:pt idx="8">
                  <c:v>2400</c:v>
                </c:pt>
                <c:pt idx="9">
                  <c:v>2000</c:v>
                </c:pt>
                <c:pt idx="10">
                  <c:v>2000</c:v>
                </c:pt>
                <c:pt idx="11">
                  <c:v>1800</c:v>
                </c:pt>
              </c:numCache>
            </c:numRef>
          </c:val>
          <c:smooth val="1"/>
        </c:ser>
        <c:ser>
          <c:idx val="1"/>
          <c:order val="1"/>
          <c:tx>
            <c:strRef>
              <c:f>Graph!$F$3</c:f>
              <c:strCache>
                <c:ptCount val="1"/>
                <c:pt idx="0">
                  <c:v>Forecast end of period Av Farm Cover kg DM/ha</c:v>
                </c:pt>
              </c:strCache>
            </c:strRef>
          </c:tx>
          <c:spPr>
            <a:solidFill>
              <a:srgbClr val="ff420e"/>
            </a:solidFill>
            <a:ln w="28800">
              <a:solidFill>
                <a:srgbClr val="ff420e"/>
              </a:solidFill>
              <a:round/>
            </a:ln>
          </c:spPr>
          <c:marker>
            <c:symbol val="square"/>
            <c:size val="8"/>
            <c:spPr>
              <a:solidFill>
                <a:srgbClr val="ff420e"/>
              </a:solidFill>
            </c:spPr>
          </c:marker>
          <c:dLbls>
            <c:dLblPos val="t"/>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Graph!$F$4:$F$15</c:f>
              <c:numCache>
                <c:formatCode>General</c:formatCode>
                <c:ptCount val="12"/>
                <c:pt idx="0">
                  <c:v>2390</c:v>
                </c:pt>
                <c:pt idx="1">
                  <c:v>2680.42105263158</c:v>
                </c:pt>
                <c:pt idx="2">
                  <c:v>2563.75438596491</c:v>
                </c:pt>
                <c:pt idx="3">
                  <c:v>2237.22105263158</c:v>
                </c:pt>
                <c:pt idx="4">
                  <c:v>2053.15855263158</c:v>
                </c:pt>
                <c:pt idx="5">
                  <c:v>2304.13894478845</c:v>
                </c:pt>
                <c:pt idx="6">
                  <c:v>2522.96247420022</c:v>
                </c:pt>
                <c:pt idx="7">
                  <c:v>2968.55070949433</c:v>
                </c:pt>
                <c:pt idx="8">
                  <c:v>3129.08642378004</c:v>
                </c:pt>
                <c:pt idx="9">
                  <c:v>2855.55701201534</c:v>
                </c:pt>
                <c:pt idx="10">
                  <c:v>2196.73348260358</c:v>
                </c:pt>
                <c:pt idx="11">
                  <c:v>1972.84459371469</c:v>
                </c:pt>
              </c:numCache>
            </c:numRef>
          </c:val>
          <c:smooth val="1"/>
        </c:ser>
        <c:hiLowLines>
          <c:spPr>
            <a:ln>
              <a:noFill/>
            </a:ln>
          </c:spPr>
        </c:hiLowLines>
        <c:marker val="1"/>
        <c:axId val="74738288"/>
        <c:axId val="62771910"/>
      </c:lineChart>
      <c:catAx>
        <c:axId val="74738288"/>
        <c:scaling>
          <c:orientation val="minMax"/>
        </c:scaling>
        <c:delete val="0"/>
        <c:axPos val="b"/>
        <c:majorGridlines>
          <c:spPr>
            <a:ln>
              <a:solidFill>
                <a:srgbClr val="3c3c3c"/>
              </a:solidFill>
            </a:ln>
          </c:spPr>
        </c:majorGridlines>
        <c:title>
          <c:tx>
            <c:rich>
              <a:bodyPr rot="0"/>
              <a:lstStyle/>
              <a:p>
                <a:pPr>
                  <a:defRPr b="0" sz="900" spc="-1" strike="noStrike">
                    <a:solidFill>
                      <a:srgbClr val="000000"/>
                    </a:solidFill>
                    <a:uFill>
                      <a:solidFill>
                        <a:srgbClr val="ffffff"/>
                      </a:solidFill>
                    </a:uFill>
                    <a:latin typeface="Arial"/>
                  </a:defRPr>
                </a:pPr>
                <a:r>
                  <a:rPr b="0" sz="900" spc="-1" strike="noStrike">
                    <a:solidFill>
                      <a:srgbClr val="000000"/>
                    </a:solidFill>
                    <a:uFill>
                      <a:solidFill>
                        <a:srgbClr val="ffffff"/>
                      </a:solidFill>
                    </a:uFill>
                    <a:latin typeface="Arial"/>
                  </a:rPr>
                  <a:t>DATE (end of period) </a:t>
                </a:r>
              </a:p>
            </c:rich>
          </c:tx>
          <c:layout>
            <c:manualLayout>
              <c:xMode val="edge"/>
              <c:yMode val="edge"/>
              <c:x val="0.411469604564234"/>
              <c:y val="0.939523845977188"/>
            </c:manualLayout>
          </c:layout>
          <c:overlay val="0"/>
        </c:title>
        <c:numFmt formatCode="D\ MMM\ YY"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62771910"/>
        <c:crossesAt val="6"/>
        <c:auto val="1"/>
        <c:lblAlgn val="ctr"/>
        <c:lblOffset val="100"/>
      </c:catAx>
      <c:valAx>
        <c:axId val="62771910"/>
        <c:scaling>
          <c:orientation val="minMax"/>
        </c:scaling>
        <c:delete val="0"/>
        <c:axPos val="l"/>
        <c:majorGridlines>
          <c:spPr>
            <a:ln>
              <a:solidFill>
                <a:srgbClr val="3c3c3c"/>
              </a:solidFill>
            </a:ln>
          </c:spPr>
        </c:majorGridlines>
        <c:minorGridlines>
          <c:spPr>
            <a:ln>
              <a:solidFill>
                <a:srgbClr val="3c3c3c"/>
              </a:solidFill>
            </a:ln>
          </c:spPr>
        </c:minorGridlines>
        <c:title>
          <c:tx>
            <c:rich>
              <a:bodyPr rot="-5400000"/>
              <a:lstStyle/>
              <a:p>
                <a:pPr>
                  <a:defRPr b="0" sz="1200" spc="-1" strike="noStrike">
                    <a:solidFill>
                      <a:srgbClr val="3c3c3c"/>
                    </a:solidFill>
                    <a:uFill>
                      <a:solidFill>
                        <a:srgbClr val="ffffff"/>
                      </a:solidFill>
                    </a:uFill>
                    <a:latin typeface="Arial"/>
                  </a:defRPr>
                </a:pPr>
                <a:r>
                  <a:rPr b="0" sz="1200" spc="-1" strike="noStrike">
                    <a:solidFill>
                      <a:srgbClr val="3c3c3c"/>
                    </a:solidFill>
                    <a:uFill>
                      <a:solidFill>
                        <a:srgbClr val="ffffff"/>
                      </a:solidFill>
                    </a:uFill>
                    <a:latin typeface="Arial"/>
                  </a:rPr>
                  <a:t>Average Farm Cover kgDM/Ha</a:t>
                </a:r>
              </a:p>
            </c:rich>
          </c:tx>
          <c:layout>
            <c:manualLayout>
              <c:xMode val="edge"/>
              <c:yMode val="edge"/>
              <c:x val="0.0415109187487704"/>
              <c:y val="0.686672280486871"/>
            </c:manualLayout>
          </c:layout>
          <c:overlay val="0"/>
        </c:title>
        <c:numFmt formatCode="0"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74738288"/>
        <c:crossesAt val="1"/>
        <c:crossBetween val="midCat"/>
      </c:valAx>
      <c:spPr>
        <a:noFill/>
        <a:ln w="37800">
          <a:solidFill>
            <a:srgbClr val="ffffff"/>
          </a:solidFill>
          <a:round/>
        </a:ln>
      </c:spPr>
    </c:plotArea>
    <c:legend>
      <c:layout>
        <c:manualLayout>
          <c:xMode val="edge"/>
          <c:yMode val="edge"/>
          <c:x val="0.571070234113712"/>
          <c:y val="0.0443236622521626"/>
        </c:manualLayout>
      </c:layout>
      <c:spPr>
        <a:solidFill>
          <a:srgbClr val="ffffff"/>
        </a:solidFill>
        <a:ln>
          <a:solidFill>
            <a:srgbClr val="3c3c3c"/>
          </a:solidFill>
        </a:ln>
      </c:spPr>
    </c:legend>
    <c:plotVisOnly val="1"/>
    <c:dispBlanksAs val="gap"/>
  </c:chart>
  <c:spPr>
    <a:solidFill>
      <a:srgbClr val="ffffff"/>
    </a:solidFill>
    <a:ln>
      <a:solidFill>
        <a:srgbClr val="3c3c3c"/>
      </a:solidFill>
    </a:ln>
  </c:spPr>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solidFill>
                  <a:srgbClr val="000000"/>
                </a:solidFill>
                <a:uFill>
                  <a:solidFill>
                    <a:srgbClr val="ffffff"/>
                  </a:solidFill>
                </a:uFill>
                <a:latin typeface="Arial"/>
              </a:defRPr>
            </a:pPr>
            <a:r>
              <a:rPr b="0" sz="1300" spc="-1" strike="noStrike">
                <a:solidFill>
                  <a:srgbClr val="000000"/>
                </a:solidFill>
                <a:uFill>
                  <a:solidFill>
                    <a:srgbClr val="ffffff"/>
                  </a:solidFill>
                </a:uFill>
                <a:latin typeface="Arial"/>
              </a:rPr>
              <a:t>Average Farm Cover - Target vs Forecasted</a:t>
            </a:r>
          </a:p>
        </c:rich>
      </c:tx>
      <c:layout>
        <c:manualLayout>
          <c:xMode val="edge"/>
          <c:yMode val="edge"/>
          <c:x val="0.104465866614204"/>
          <c:y val="0.0290132435122101"/>
        </c:manualLayout>
      </c:layout>
      <c:overlay val="0"/>
    </c:title>
    <c:autoTitleDeleted val="0"/>
    <c:plotArea>
      <c:layout>
        <c:manualLayout>
          <c:layoutTarget val="inner"/>
          <c:xMode val="edge"/>
          <c:yMode val="edge"/>
          <c:x val="0.138599252409994"/>
          <c:y val="0.107172931179668"/>
          <c:w val="0.756836513869762"/>
          <c:h val="0.712546888157391"/>
        </c:manualLayout>
      </c:layout>
      <c:lineChart>
        <c:grouping val="standard"/>
        <c:varyColors val="0"/>
        <c:ser>
          <c:idx val="0"/>
          <c:order val="0"/>
          <c:tx>
            <c:strRef>
              <c:f>Graph!$E$3</c:f>
              <c:strCache>
                <c:ptCount val="1"/>
                <c:pt idx="0">
                  <c:v>Target Av. Farm Cover kg DM/ha</c:v>
                </c:pt>
              </c:strCache>
            </c:strRef>
          </c:tx>
          <c:spPr>
            <a:solidFill>
              <a:srgbClr val="000080"/>
            </a:solidFill>
            <a:ln w="25200">
              <a:solidFill>
                <a:srgbClr val="000080"/>
              </a:solidFill>
              <a:round/>
            </a:ln>
          </c:spPr>
          <c:marker>
            <c:symbol val="diamond"/>
            <c:size val="5"/>
            <c:spPr>
              <a:solidFill>
                <a:srgbClr val="000080"/>
              </a:solidFill>
            </c:spPr>
          </c:marker>
          <c:dLbls>
            <c:dLbl>
              <c:idx val="4"/>
              <c:dLblPos val="b"/>
              <c:showLegendKey val="0"/>
              <c:showVal val="1"/>
              <c:showCatName val="0"/>
              <c:showSerName val="0"/>
              <c:showPercent val="0"/>
            </c:dLbl>
            <c:dLblPos val="b"/>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Graph!$E$4:$E$15</c:f>
              <c:numCache>
                <c:formatCode>General</c:formatCode>
                <c:ptCount val="12"/>
                <c:pt idx="0">
                  <c:v>2000</c:v>
                </c:pt>
                <c:pt idx="1">
                  <c:v>2200</c:v>
                </c:pt>
                <c:pt idx="2">
                  <c:v>2300</c:v>
                </c:pt>
                <c:pt idx="3">
                  <c:v>2500</c:v>
                </c:pt>
                <c:pt idx="4">
                  <c:v>2000</c:v>
                </c:pt>
                <c:pt idx="5">
                  <c:v>1800</c:v>
                </c:pt>
                <c:pt idx="6">
                  <c:v>2200</c:v>
                </c:pt>
                <c:pt idx="7">
                  <c:v>2500</c:v>
                </c:pt>
                <c:pt idx="8">
                  <c:v>2400</c:v>
                </c:pt>
                <c:pt idx="9">
                  <c:v>2000</c:v>
                </c:pt>
                <c:pt idx="10">
                  <c:v>2000</c:v>
                </c:pt>
                <c:pt idx="11">
                  <c:v>1800</c:v>
                </c:pt>
              </c:numCache>
            </c:numRef>
          </c:val>
          <c:smooth val="1"/>
        </c:ser>
        <c:ser>
          <c:idx val="1"/>
          <c:order val="1"/>
          <c:tx>
            <c:strRef>
              <c:f>Graph!$F$3</c:f>
              <c:strCache>
                <c:ptCount val="1"/>
                <c:pt idx="0">
                  <c:v>Forecast end of period Av Farm Cover kg DM/ha</c:v>
                </c:pt>
              </c:strCache>
            </c:strRef>
          </c:tx>
          <c:spPr>
            <a:solidFill>
              <a:srgbClr val="ff420e"/>
            </a:solidFill>
            <a:ln w="28800">
              <a:solidFill>
                <a:srgbClr val="ff420e"/>
              </a:solidFill>
              <a:round/>
            </a:ln>
          </c:spPr>
          <c:marker>
            <c:symbol val="square"/>
            <c:size val="8"/>
            <c:spPr>
              <a:solidFill>
                <a:srgbClr val="ff420e"/>
              </a:solidFill>
            </c:spPr>
          </c:marker>
          <c:dLbls>
            <c:dLblPos val="t"/>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Graph!$F$4:$F$15</c:f>
              <c:numCache>
                <c:formatCode>General</c:formatCode>
                <c:ptCount val="12"/>
                <c:pt idx="0">
                  <c:v>2390</c:v>
                </c:pt>
                <c:pt idx="1">
                  <c:v>2680.42105263158</c:v>
                </c:pt>
                <c:pt idx="2">
                  <c:v>2563.75438596491</c:v>
                </c:pt>
                <c:pt idx="3">
                  <c:v>2237.22105263158</c:v>
                </c:pt>
                <c:pt idx="4">
                  <c:v>2053.15855263158</c:v>
                </c:pt>
                <c:pt idx="5">
                  <c:v>2304.13894478845</c:v>
                </c:pt>
                <c:pt idx="6">
                  <c:v>2522.96247420022</c:v>
                </c:pt>
                <c:pt idx="7">
                  <c:v>2968.55070949433</c:v>
                </c:pt>
                <c:pt idx="8">
                  <c:v>3129.08642378004</c:v>
                </c:pt>
                <c:pt idx="9">
                  <c:v>2855.55701201534</c:v>
                </c:pt>
                <c:pt idx="10">
                  <c:v>2196.73348260358</c:v>
                </c:pt>
                <c:pt idx="11">
                  <c:v>1972.84459371469</c:v>
                </c:pt>
              </c:numCache>
            </c:numRef>
          </c:val>
          <c:smooth val="1"/>
        </c:ser>
        <c:hiLowLines>
          <c:spPr>
            <a:ln>
              <a:noFill/>
            </a:ln>
          </c:spPr>
        </c:hiLowLines>
        <c:marker val="1"/>
        <c:axId val="29032247"/>
        <c:axId val="32784675"/>
      </c:lineChart>
      <c:catAx>
        <c:axId val="29032247"/>
        <c:scaling>
          <c:orientation val="minMax"/>
        </c:scaling>
        <c:delete val="0"/>
        <c:axPos val="b"/>
        <c:majorGridlines>
          <c:spPr>
            <a:ln>
              <a:solidFill>
                <a:srgbClr val="3c3c3c"/>
              </a:solidFill>
            </a:ln>
          </c:spPr>
        </c:majorGridlines>
        <c:title>
          <c:tx>
            <c:rich>
              <a:bodyPr rot="0"/>
              <a:lstStyle/>
              <a:p>
                <a:pPr>
                  <a:defRPr b="0" sz="900" spc="-1" strike="noStrike">
                    <a:solidFill>
                      <a:srgbClr val="000000"/>
                    </a:solidFill>
                    <a:uFill>
                      <a:solidFill>
                        <a:srgbClr val="ffffff"/>
                      </a:solidFill>
                    </a:uFill>
                    <a:latin typeface="Arial"/>
                  </a:defRPr>
                </a:pPr>
                <a:r>
                  <a:rPr b="0" sz="900" spc="-1" strike="noStrike">
                    <a:solidFill>
                      <a:srgbClr val="000000"/>
                    </a:solidFill>
                    <a:uFill>
                      <a:solidFill>
                        <a:srgbClr val="ffffff"/>
                      </a:solidFill>
                    </a:uFill>
                    <a:latin typeface="Arial"/>
                  </a:rPr>
                  <a:t>DATE (end of period) </a:t>
                </a:r>
              </a:p>
            </c:rich>
          </c:tx>
          <c:layout>
            <c:manualLayout>
              <c:xMode val="edge"/>
              <c:yMode val="edge"/>
              <c:x val="0.411469604564234"/>
              <c:y val="0.939523845977188"/>
            </c:manualLayout>
          </c:layout>
          <c:overlay val="0"/>
        </c:title>
        <c:numFmt formatCode="D\ MMM\ YY"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32784675"/>
        <c:crossesAt val="6"/>
        <c:auto val="1"/>
        <c:lblAlgn val="ctr"/>
        <c:lblOffset val="100"/>
      </c:catAx>
      <c:valAx>
        <c:axId val="32784675"/>
        <c:scaling>
          <c:orientation val="minMax"/>
        </c:scaling>
        <c:delete val="0"/>
        <c:axPos val="l"/>
        <c:majorGridlines>
          <c:spPr>
            <a:ln>
              <a:solidFill>
                <a:srgbClr val="3c3c3c"/>
              </a:solidFill>
            </a:ln>
          </c:spPr>
        </c:majorGridlines>
        <c:minorGridlines>
          <c:spPr>
            <a:ln>
              <a:solidFill>
                <a:srgbClr val="3c3c3c"/>
              </a:solidFill>
            </a:ln>
          </c:spPr>
        </c:minorGridlines>
        <c:title>
          <c:tx>
            <c:rich>
              <a:bodyPr rot="-5400000"/>
              <a:lstStyle/>
              <a:p>
                <a:pPr>
                  <a:defRPr b="0" sz="1200" spc="-1" strike="noStrike">
                    <a:solidFill>
                      <a:srgbClr val="3c3c3c"/>
                    </a:solidFill>
                    <a:uFill>
                      <a:solidFill>
                        <a:srgbClr val="ffffff"/>
                      </a:solidFill>
                    </a:uFill>
                    <a:latin typeface="Arial"/>
                  </a:defRPr>
                </a:pPr>
                <a:r>
                  <a:rPr b="0" sz="1200" spc="-1" strike="noStrike">
                    <a:solidFill>
                      <a:srgbClr val="3c3c3c"/>
                    </a:solidFill>
                    <a:uFill>
                      <a:solidFill>
                        <a:srgbClr val="ffffff"/>
                      </a:solidFill>
                    </a:uFill>
                    <a:latin typeface="Arial"/>
                  </a:rPr>
                  <a:t>Average Farm Cover kgDM/Ha</a:t>
                </a:r>
              </a:p>
            </c:rich>
          </c:tx>
          <c:layout>
            <c:manualLayout>
              <c:xMode val="edge"/>
              <c:yMode val="edge"/>
              <c:x val="0.0415109187487704"/>
              <c:y val="0.686672280486871"/>
            </c:manualLayout>
          </c:layout>
          <c:overlay val="0"/>
        </c:title>
        <c:numFmt formatCode="0"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29032247"/>
        <c:crossesAt val="1"/>
        <c:crossBetween val="midCat"/>
      </c:valAx>
      <c:spPr>
        <a:noFill/>
        <a:ln w="37800">
          <a:solidFill>
            <a:srgbClr val="ffffff"/>
          </a:solidFill>
          <a:round/>
        </a:ln>
      </c:spPr>
    </c:plotArea>
    <c:legend>
      <c:layout>
        <c:manualLayout>
          <c:xMode val="edge"/>
          <c:yMode val="edge"/>
          <c:x val="0.571070234113712"/>
          <c:y val="0.0443236622521626"/>
        </c:manualLayout>
      </c:layout>
      <c:spPr>
        <a:solidFill>
          <a:srgbClr val="ffffff"/>
        </a:solidFill>
        <a:ln>
          <a:solidFill>
            <a:srgbClr val="3c3c3c"/>
          </a:solidFill>
        </a:ln>
      </c:spPr>
    </c:legend>
    <c:plotVisOnly val="1"/>
    <c:dispBlanksAs val="gap"/>
  </c:chart>
  <c:spPr>
    <a:solidFill>
      <a:srgbClr val="ffffff"/>
    </a:solidFill>
    <a:ln>
      <a:solidFill>
        <a:srgbClr val="3c3c3c"/>
      </a:solidFill>
    </a:ln>
  </c:spPr>
</c:chartSpace>
</file>

<file path=xl/charts/chart1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solidFill>
                  <a:srgbClr val="000000"/>
                </a:solidFill>
                <a:uFill>
                  <a:solidFill>
                    <a:srgbClr val="ffffff"/>
                  </a:solidFill>
                </a:uFill>
                <a:latin typeface="Arial"/>
              </a:defRPr>
            </a:pPr>
            <a:r>
              <a:rPr b="0" sz="1300" spc="-1" strike="noStrike">
                <a:solidFill>
                  <a:srgbClr val="000000"/>
                </a:solidFill>
                <a:uFill>
                  <a:solidFill>
                    <a:srgbClr val="ffffff"/>
                  </a:solidFill>
                </a:uFill>
                <a:latin typeface="Arial"/>
              </a:rPr>
              <a:t>Average Farm Cover - Target vs Forecasted</a:t>
            </a:r>
          </a:p>
        </c:rich>
      </c:tx>
      <c:layout>
        <c:manualLayout>
          <c:xMode val="edge"/>
          <c:yMode val="edge"/>
          <c:x val="0.104465866614204"/>
          <c:y val="0.0290132435122101"/>
        </c:manualLayout>
      </c:layout>
      <c:overlay val="0"/>
    </c:title>
    <c:autoTitleDeleted val="0"/>
    <c:plotArea>
      <c:layout>
        <c:manualLayout>
          <c:layoutTarget val="inner"/>
          <c:xMode val="edge"/>
          <c:yMode val="edge"/>
          <c:x val="0.138599252409994"/>
          <c:y val="0.107172931179668"/>
          <c:w val="0.756836513869762"/>
          <c:h val="0.712546888157391"/>
        </c:manualLayout>
      </c:layout>
      <c:lineChart>
        <c:grouping val="standard"/>
        <c:varyColors val="0"/>
        <c:ser>
          <c:idx val="0"/>
          <c:order val="0"/>
          <c:tx>
            <c:strRef>
              <c:f>Graph!$E$3</c:f>
              <c:strCache>
                <c:ptCount val="1"/>
                <c:pt idx="0">
                  <c:v>Target Av. Farm Cover kg DM/ha</c:v>
                </c:pt>
              </c:strCache>
            </c:strRef>
          </c:tx>
          <c:spPr>
            <a:solidFill>
              <a:srgbClr val="000080"/>
            </a:solidFill>
            <a:ln w="25200">
              <a:solidFill>
                <a:srgbClr val="000080"/>
              </a:solidFill>
              <a:round/>
            </a:ln>
          </c:spPr>
          <c:marker>
            <c:symbol val="diamond"/>
            <c:size val="5"/>
            <c:spPr>
              <a:solidFill>
                <a:srgbClr val="000080"/>
              </a:solidFill>
            </c:spPr>
          </c:marker>
          <c:dLbls>
            <c:dLbl>
              <c:idx val="4"/>
              <c:dLblPos val="b"/>
              <c:showLegendKey val="0"/>
              <c:showVal val="1"/>
              <c:showCatName val="0"/>
              <c:showSerName val="0"/>
              <c:showPercent val="0"/>
            </c:dLbl>
            <c:dLblPos val="b"/>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Graph!$E$4:$E$15</c:f>
              <c:numCache>
                <c:formatCode>General</c:formatCode>
                <c:ptCount val="12"/>
                <c:pt idx="0">
                  <c:v>2000</c:v>
                </c:pt>
                <c:pt idx="1">
                  <c:v>2200</c:v>
                </c:pt>
                <c:pt idx="2">
                  <c:v>2300</c:v>
                </c:pt>
                <c:pt idx="3">
                  <c:v>2500</c:v>
                </c:pt>
                <c:pt idx="4">
                  <c:v>2000</c:v>
                </c:pt>
                <c:pt idx="5">
                  <c:v>1800</c:v>
                </c:pt>
                <c:pt idx="6">
                  <c:v>2200</c:v>
                </c:pt>
                <c:pt idx="7">
                  <c:v>2500</c:v>
                </c:pt>
                <c:pt idx="8">
                  <c:v>2400</c:v>
                </c:pt>
                <c:pt idx="9">
                  <c:v>2000</c:v>
                </c:pt>
                <c:pt idx="10">
                  <c:v>2000</c:v>
                </c:pt>
                <c:pt idx="11">
                  <c:v>1800</c:v>
                </c:pt>
              </c:numCache>
            </c:numRef>
          </c:val>
          <c:smooth val="1"/>
        </c:ser>
        <c:ser>
          <c:idx val="1"/>
          <c:order val="1"/>
          <c:tx>
            <c:strRef>
              <c:f>Graph!$F$3</c:f>
              <c:strCache>
                <c:ptCount val="1"/>
                <c:pt idx="0">
                  <c:v>Forecast end of period Av Farm Cover kg DM/ha</c:v>
                </c:pt>
              </c:strCache>
            </c:strRef>
          </c:tx>
          <c:spPr>
            <a:solidFill>
              <a:srgbClr val="ff420e"/>
            </a:solidFill>
            <a:ln w="28800">
              <a:solidFill>
                <a:srgbClr val="ff420e"/>
              </a:solidFill>
              <a:round/>
            </a:ln>
          </c:spPr>
          <c:marker>
            <c:symbol val="square"/>
            <c:size val="8"/>
            <c:spPr>
              <a:solidFill>
                <a:srgbClr val="ff420e"/>
              </a:solidFill>
            </c:spPr>
          </c:marker>
          <c:dLbls>
            <c:dLblPos val="t"/>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Graph!$F$4:$F$15</c:f>
              <c:numCache>
                <c:formatCode>General</c:formatCode>
                <c:ptCount val="12"/>
                <c:pt idx="0">
                  <c:v>2390</c:v>
                </c:pt>
                <c:pt idx="1">
                  <c:v>2680.42105263158</c:v>
                </c:pt>
                <c:pt idx="2">
                  <c:v>2563.75438596491</c:v>
                </c:pt>
                <c:pt idx="3">
                  <c:v>2237.22105263158</c:v>
                </c:pt>
                <c:pt idx="4">
                  <c:v>2053.15855263158</c:v>
                </c:pt>
                <c:pt idx="5">
                  <c:v>2304.13894478845</c:v>
                </c:pt>
                <c:pt idx="6">
                  <c:v>2522.96247420022</c:v>
                </c:pt>
                <c:pt idx="7">
                  <c:v>2968.55070949433</c:v>
                </c:pt>
                <c:pt idx="8">
                  <c:v>3129.08642378004</c:v>
                </c:pt>
                <c:pt idx="9">
                  <c:v>2855.55701201534</c:v>
                </c:pt>
                <c:pt idx="10">
                  <c:v>2196.73348260358</c:v>
                </c:pt>
                <c:pt idx="11">
                  <c:v>1972.84459371469</c:v>
                </c:pt>
              </c:numCache>
            </c:numRef>
          </c:val>
          <c:smooth val="1"/>
        </c:ser>
        <c:hiLowLines>
          <c:spPr>
            <a:ln>
              <a:noFill/>
            </a:ln>
          </c:spPr>
        </c:hiLowLines>
        <c:marker val="1"/>
        <c:axId val="22330493"/>
        <c:axId val="29823743"/>
      </c:lineChart>
      <c:catAx>
        <c:axId val="22330493"/>
        <c:scaling>
          <c:orientation val="minMax"/>
        </c:scaling>
        <c:delete val="0"/>
        <c:axPos val="b"/>
        <c:majorGridlines>
          <c:spPr>
            <a:ln>
              <a:solidFill>
                <a:srgbClr val="3c3c3c"/>
              </a:solidFill>
            </a:ln>
          </c:spPr>
        </c:majorGridlines>
        <c:title>
          <c:tx>
            <c:rich>
              <a:bodyPr rot="0"/>
              <a:lstStyle/>
              <a:p>
                <a:pPr>
                  <a:defRPr b="0" sz="900" spc="-1" strike="noStrike">
                    <a:solidFill>
                      <a:srgbClr val="000000"/>
                    </a:solidFill>
                    <a:uFill>
                      <a:solidFill>
                        <a:srgbClr val="ffffff"/>
                      </a:solidFill>
                    </a:uFill>
                    <a:latin typeface="Arial"/>
                  </a:defRPr>
                </a:pPr>
                <a:r>
                  <a:rPr b="0" sz="900" spc="-1" strike="noStrike">
                    <a:solidFill>
                      <a:srgbClr val="000000"/>
                    </a:solidFill>
                    <a:uFill>
                      <a:solidFill>
                        <a:srgbClr val="ffffff"/>
                      </a:solidFill>
                    </a:uFill>
                    <a:latin typeface="Arial"/>
                  </a:rPr>
                  <a:t>DATE (end of period) </a:t>
                </a:r>
              </a:p>
            </c:rich>
          </c:tx>
          <c:layout>
            <c:manualLayout>
              <c:xMode val="edge"/>
              <c:yMode val="edge"/>
              <c:x val="0.411469604564234"/>
              <c:y val="0.939523845977188"/>
            </c:manualLayout>
          </c:layout>
          <c:overlay val="0"/>
        </c:title>
        <c:numFmt formatCode="D\ MMM\ YY"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29823743"/>
        <c:crossesAt val="6"/>
        <c:auto val="1"/>
        <c:lblAlgn val="ctr"/>
        <c:lblOffset val="100"/>
      </c:catAx>
      <c:valAx>
        <c:axId val="29823743"/>
        <c:scaling>
          <c:orientation val="minMax"/>
        </c:scaling>
        <c:delete val="0"/>
        <c:axPos val="l"/>
        <c:majorGridlines>
          <c:spPr>
            <a:ln>
              <a:solidFill>
                <a:srgbClr val="3c3c3c"/>
              </a:solidFill>
            </a:ln>
          </c:spPr>
        </c:majorGridlines>
        <c:minorGridlines>
          <c:spPr>
            <a:ln>
              <a:solidFill>
                <a:srgbClr val="3c3c3c"/>
              </a:solidFill>
            </a:ln>
          </c:spPr>
        </c:minorGridlines>
        <c:title>
          <c:tx>
            <c:rich>
              <a:bodyPr rot="-5400000"/>
              <a:lstStyle/>
              <a:p>
                <a:pPr>
                  <a:defRPr b="0" sz="1200" spc="-1" strike="noStrike">
                    <a:solidFill>
                      <a:srgbClr val="3c3c3c"/>
                    </a:solidFill>
                    <a:uFill>
                      <a:solidFill>
                        <a:srgbClr val="ffffff"/>
                      </a:solidFill>
                    </a:uFill>
                    <a:latin typeface="Arial"/>
                  </a:defRPr>
                </a:pPr>
                <a:r>
                  <a:rPr b="0" sz="1200" spc="-1" strike="noStrike">
                    <a:solidFill>
                      <a:srgbClr val="3c3c3c"/>
                    </a:solidFill>
                    <a:uFill>
                      <a:solidFill>
                        <a:srgbClr val="ffffff"/>
                      </a:solidFill>
                    </a:uFill>
                    <a:latin typeface="Arial"/>
                  </a:rPr>
                  <a:t>Average Farm Cover kgDM/Ha</a:t>
                </a:r>
              </a:p>
            </c:rich>
          </c:tx>
          <c:layout>
            <c:manualLayout>
              <c:xMode val="edge"/>
              <c:yMode val="edge"/>
              <c:x val="0.0415109187487704"/>
              <c:y val="0.686672280486871"/>
            </c:manualLayout>
          </c:layout>
          <c:overlay val="0"/>
        </c:title>
        <c:numFmt formatCode="0"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22330493"/>
        <c:crossesAt val="1"/>
        <c:crossBetween val="midCat"/>
      </c:valAx>
      <c:spPr>
        <a:noFill/>
        <a:ln w="37800">
          <a:solidFill>
            <a:srgbClr val="ffffff"/>
          </a:solidFill>
          <a:round/>
        </a:ln>
      </c:spPr>
    </c:plotArea>
    <c:legend>
      <c:layout>
        <c:manualLayout>
          <c:xMode val="edge"/>
          <c:yMode val="edge"/>
          <c:x val="0.571070234113712"/>
          <c:y val="0.0443236622521626"/>
        </c:manualLayout>
      </c:layout>
      <c:spPr>
        <a:solidFill>
          <a:srgbClr val="ffffff"/>
        </a:solidFill>
        <a:ln>
          <a:solidFill>
            <a:srgbClr val="3c3c3c"/>
          </a:solidFill>
        </a:ln>
      </c:spPr>
    </c:legend>
    <c:plotVisOnly val="1"/>
    <c:dispBlanksAs val="gap"/>
  </c:chart>
  <c:spPr>
    <a:solidFill>
      <a:srgbClr val="ffffff"/>
    </a:solidFill>
    <a:ln>
      <a:solidFill>
        <a:srgbClr val="3c3c3c"/>
      </a:solidFill>
    </a:ln>
  </c:spPr>
</c:chartSpace>
</file>

<file path=xl/charts/chart1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solidFill>
                  <a:srgbClr val="000000"/>
                </a:solidFill>
                <a:uFill>
                  <a:solidFill>
                    <a:srgbClr val="ffffff"/>
                  </a:solidFill>
                </a:uFill>
                <a:latin typeface="Arial"/>
              </a:defRPr>
            </a:pPr>
            <a:r>
              <a:rPr b="0" sz="1300" spc="-1" strike="noStrike">
                <a:solidFill>
                  <a:srgbClr val="000000"/>
                </a:solidFill>
                <a:uFill>
                  <a:solidFill>
                    <a:srgbClr val="ffffff"/>
                  </a:solidFill>
                </a:uFill>
                <a:latin typeface="Arial"/>
              </a:rPr>
              <a:t>Average Farm Cover - Target vs Forecasted</a:t>
            </a:r>
          </a:p>
        </c:rich>
      </c:tx>
      <c:layout>
        <c:manualLayout>
          <c:xMode val="edge"/>
          <c:yMode val="edge"/>
          <c:x val="0.104515050167224"/>
          <c:y val="0.0290897956059098"/>
        </c:manualLayout>
      </c:layout>
      <c:overlay val="0"/>
    </c:title>
    <c:autoTitleDeleted val="0"/>
    <c:plotArea>
      <c:layout>
        <c:manualLayout>
          <c:layoutTarget val="inner"/>
          <c:xMode val="edge"/>
          <c:yMode val="edge"/>
          <c:x val="0.138599252409994"/>
          <c:y val="0.107172931179668"/>
          <c:w val="0.756836513869762"/>
          <c:h val="0.712546888157391"/>
        </c:manualLayout>
      </c:layout>
      <c:lineChart>
        <c:grouping val="standard"/>
        <c:varyColors val="0"/>
        <c:ser>
          <c:idx val="0"/>
          <c:order val="0"/>
          <c:tx>
            <c:strRef>
              <c:f>Graph!$E$3</c:f>
              <c:strCache>
                <c:ptCount val="1"/>
                <c:pt idx="0">
                  <c:v>Target Av. Farm Cover kg DM/ha</c:v>
                </c:pt>
              </c:strCache>
            </c:strRef>
          </c:tx>
          <c:spPr>
            <a:solidFill>
              <a:srgbClr val="000080"/>
            </a:solidFill>
            <a:ln w="25200">
              <a:solidFill>
                <a:srgbClr val="000080"/>
              </a:solidFill>
              <a:round/>
            </a:ln>
          </c:spPr>
          <c:marker>
            <c:symbol val="diamond"/>
            <c:size val="5"/>
            <c:spPr>
              <a:solidFill>
                <a:srgbClr val="000080"/>
              </a:solidFill>
            </c:spPr>
          </c:marker>
          <c:dLbls>
            <c:dLbl>
              <c:idx val="4"/>
              <c:dLblPos val="b"/>
              <c:showLegendKey val="0"/>
              <c:showVal val="1"/>
              <c:showCatName val="0"/>
              <c:showSerName val="0"/>
              <c:showPercent val="0"/>
            </c:dLbl>
            <c:dLblPos val="b"/>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Graph!$E$4:$E$15</c:f>
              <c:numCache>
                <c:formatCode>General</c:formatCode>
                <c:ptCount val="12"/>
                <c:pt idx="0">
                  <c:v>2000</c:v>
                </c:pt>
                <c:pt idx="1">
                  <c:v>2200</c:v>
                </c:pt>
                <c:pt idx="2">
                  <c:v>2300</c:v>
                </c:pt>
                <c:pt idx="3">
                  <c:v>2500</c:v>
                </c:pt>
                <c:pt idx="4">
                  <c:v>2000</c:v>
                </c:pt>
                <c:pt idx="5">
                  <c:v>1800</c:v>
                </c:pt>
                <c:pt idx="6">
                  <c:v>2200</c:v>
                </c:pt>
                <c:pt idx="7">
                  <c:v>2500</c:v>
                </c:pt>
                <c:pt idx="8">
                  <c:v>2400</c:v>
                </c:pt>
                <c:pt idx="9">
                  <c:v>2000</c:v>
                </c:pt>
                <c:pt idx="10">
                  <c:v>2000</c:v>
                </c:pt>
                <c:pt idx="11">
                  <c:v>1800</c:v>
                </c:pt>
              </c:numCache>
            </c:numRef>
          </c:val>
          <c:smooth val="1"/>
        </c:ser>
        <c:ser>
          <c:idx val="1"/>
          <c:order val="1"/>
          <c:tx>
            <c:strRef>
              <c:f>Graph!$F$3</c:f>
              <c:strCache>
                <c:ptCount val="1"/>
                <c:pt idx="0">
                  <c:v>Forecast end of period Av Farm Cover kg DM/ha</c:v>
                </c:pt>
              </c:strCache>
            </c:strRef>
          </c:tx>
          <c:spPr>
            <a:solidFill>
              <a:srgbClr val="ff420e"/>
            </a:solidFill>
            <a:ln w="28800">
              <a:solidFill>
                <a:srgbClr val="ff420e"/>
              </a:solidFill>
              <a:round/>
            </a:ln>
          </c:spPr>
          <c:marker>
            <c:symbol val="square"/>
            <c:size val="8"/>
            <c:spPr>
              <a:solidFill>
                <a:srgbClr val="ff420e"/>
              </a:solidFill>
            </c:spPr>
          </c:marker>
          <c:dLbls>
            <c:dLblPos val="t"/>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Graph!$F$4:$F$15</c:f>
              <c:numCache>
                <c:formatCode>General</c:formatCode>
                <c:ptCount val="12"/>
                <c:pt idx="0">
                  <c:v>2390</c:v>
                </c:pt>
                <c:pt idx="1">
                  <c:v>2680.42105263158</c:v>
                </c:pt>
                <c:pt idx="2">
                  <c:v>2563.75438596491</c:v>
                </c:pt>
                <c:pt idx="3">
                  <c:v>2237.22105263158</c:v>
                </c:pt>
                <c:pt idx="4">
                  <c:v>2053.15855263158</c:v>
                </c:pt>
                <c:pt idx="5">
                  <c:v>2304.13894478845</c:v>
                </c:pt>
                <c:pt idx="6">
                  <c:v>2522.96247420022</c:v>
                </c:pt>
                <c:pt idx="7">
                  <c:v>2968.55070949433</c:v>
                </c:pt>
                <c:pt idx="8">
                  <c:v>3129.08642378004</c:v>
                </c:pt>
                <c:pt idx="9">
                  <c:v>2855.55701201534</c:v>
                </c:pt>
                <c:pt idx="10">
                  <c:v>2196.73348260358</c:v>
                </c:pt>
                <c:pt idx="11">
                  <c:v>1972.84459371469</c:v>
                </c:pt>
              </c:numCache>
            </c:numRef>
          </c:val>
          <c:smooth val="1"/>
        </c:ser>
        <c:hiLowLines>
          <c:spPr>
            <a:ln>
              <a:noFill/>
            </a:ln>
          </c:spPr>
        </c:hiLowLines>
        <c:marker val="1"/>
        <c:axId val="45956170"/>
        <c:axId val="99176208"/>
      </c:lineChart>
      <c:catAx>
        <c:axId val="45956170"/>
        <c:scaling>
          <c:orientation val="minMax"/>
        </c:scaling>
        <c:delete val="0"/>
        <c:axPos val="b"/>
        <c:majorGridlines>
          <c:spPr>
            <a:ln>
              <a:solidFill>
                <a:srgbClr val="3c3c3c"/>
              </a:solidFill>
            </a:ln>
          </c:spPr>
        </c:majorGridlines>
        <c:title>
          <c:tx>
            <c:rich>
              <a:bodyPr rot="0"/>
              <a:lstStyle/>
              <a:p>
                <a:pPr>
                  <a:defRPr b="0" sz="900" spc="-1" strike="noStrike">
                    <a:solidFill>
                      <a:srgbClr val="000000"/>
                    </a:solidFill>
                    <a:uFill>
                      <a:solidFill>
                        <a:srgbClr val="ffffff"/>
                      </a:solidFill>
                    </a:uFill>
                    <a:latin typeface="Arial"/>
                  </a:defRPr>
                </a:pPr>
                <a:r>
                  <a:rPr b="0" sz="900" spc="-1" strike="noStrike">
                    <a:solidFill>
                      <a:srgbClr val="000000"/>
                    </a:solidFill>
                    <a:uFill>
                      <a:solidFill>
                        <a:srgbClr val="ffffff"/>
                      </a:solidFill>
                    </a:uFill>
                    <a:latin typeface="Arial"/>
                  </a:rPr>
                  <a:t>DATE (end of period) </a:t>
                </a:r>
              </a:p>
            </c:rich>
          </c:tx>
          <c:layout>
            <c:manualLayout>
              <c:xMode val="edge"/>
              <c:yMode val="edge"/>
              <c:x val="0.411518788117254"/>
              <c:y val="0.939523845977188"/>
            </c:manualLayout>
          </c:layout>
          <c:overlay val="0"/>
        </c:title>
        <c:numFmt formatCode="D\ MMM\ YY"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99176208"/>
        <c:crossesAt val="6"/>
        <c:auto val="1"/>
        <c:lblAlgn val="ctr"/>
        <c:lblOffset val="100"/>
      </c:catAx>
      <c:valAx>
        <c:axId val="99176208"/>
        <c:scaling>
          <c:orientation val="minMax"/>
        </c:scaling>
        <c:delete val="0"/>
        <c:axPos val="l"/>
        <c:majorGridlines>
          <c:spPr>
            <a:ln>
              <a:solidFill>
                <a:srgbClr val="3c3c3c"/>
              </a:solidFill>
            </a:ln>
          </c:spPr>
        </c:majorGridlines>
        <c:minorGridlines>
          <c:spPr>
            <a:ln>
              <a:solidFill>
                <a:srgbClr val="3c3c3c"/>
              </a:solidFill>
            </a:ln>
          </c:spPr>
        </c:minorGridlines>
        <c:title>
          <c:tx>
            <c:rich>
              <a:bodyPr rot="-5400000"/>
              <a:lstStyle/>
              <a:p>
                <a:pPr>
                  <a:defRPr b="0" sz="1200" spc="-1" strike="noStrike">
                    <a:solidFill>
                      <a:srgbClr val="3c3c3c"/>
                    </a:solidFill>
                    <a:uFill>
                      <a:solidFill>
                        <a:srgbClr val="ffffff"/>
                      </a:solidFill>
                    </a:uFill>
                    <a:latin typeface="Arial"/>
                  </a:defRPr>
                </a:pPr>
                <a:r>
                  <a:rPr b="0" sz="1200" spc="-1" strike="noStrike">
                    <a:solidFill>
                      <a:srgbClr val="3c3c3c"/>
                    </a:solidFill>
                    <a:uFill>
                      <a:solidFill>
                        <a:srgbClr val="ffffff"/>
                      </a:solidFill>
                    </a:uFill>
                    <a:latin typeface="Arial"/>
                  </a:rPr>
                  <a:t>Average Farm Cover kgDM/Ha</a:t>
                </a:r>
              </a:p>
            </c:rich>
          </c:tx>
          <c:layout>
            <c:manualLayout>
              <c:xMode val="edge"/>
              <c:yMode val="edge"/>
              <c:x val="0.0415109187487704"/>
              <c:y val="0.686595728393171"/>
            </c:manualLayout>
          </c:layout>
          <c:overlay val="0"/>
        </c:title>
        <c:numFmt formatCode="0"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45956170"/>
        <c:crossesAt val="1"/>
        <c:crossBetween val="midCat"/>
      </c:valAx>
      <c:spPr>
        <a:noFill/>
        <a:ln w="37800">
          <a:solidFill>
            <a:srgbClr val="ffffff"/>
          </a:solidFill>
          <a:round/>
        </a:ln>
      </c:spPr>
    </c:plotArea>
    <c:legend>
      <c:layout>
        <c:manualLayout>
          <c:xMode val="edge"/>
          <c:yMode val="edge"/>
          <c:x val="0.571070234113712"/>
          <c:y val="0.0443236622521626"/>
        </c:manualLayout>
      </c:layout>
      <c:spPr>
        <a:solidFill>
          <a:srgbClr val="ffffff"/>
        </a:solidFill>
        <a:ln>
          <a:solidFill>
            <a:srgbClr val="3c3c3c"/>
          </a:solidFill>
        </a:ln>
      </c:spPr>
    </c:legend>
    <c:plotVisOnly val="1"/>
    <c:dispBlanksAs val="gap"/>
  </c:chart>
  <c:spPr>
    <a:solidFill>
      <a:srgbClr val="ffffff"/>
    </a:solidFill>
    <a:ln>
      <a:solidFill>
        <a:srgbClr val="3c3c3c"/>
      </a:solidFill>
    </a:ln>
  </c:spPr>
</c:chartSpace>
</file>

<file path=xl/charts/chart14.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solidFill>
                  <a:srgbClr val="000000"/>
                </a:solidFill>
                <a:uFill>
                  <a:solidFill>
                    <a:srgbClr val="ffffff"/>
                  </a:solidFill>
                </a:uFill>
                <a:latin typeface="Arial"/>
              </a:defRPr>
            </a:pPr>
            <a:r>
              <a:rPr b="0" sz="1300" spc="-1" strike="noStrike">
                <a:solidFill>
                  <a:srgbClr val="000000"/>
                </a:solidFill>
                <a:uFill>
                  <a:solidFill>
                    <a:srgbClr val="ffffff"/>
                  </a:solidFill>
                </a:uFill>
                <a:latin typeface="Arial"/>
              </a:rPr>
              <a:t>Average Farm Cover - Target vs Forecasted</a:t>
            </a:r>
          </a:p>
        </c:rich>
      </c:tx>
      <c:layout>
        <c:manualLayout>
          <c:xMode val="edge"/>
          <c:yMode val="edge"/>
          <c:x val="0.104564233720244"/>
          <c:y val="0.0291663476996096"/>
        </c:manualLayout>
      </c:layout>
      <c:overlay val="0"/>
    </c:title>
    <c:autoTitleDeleted val="0"/>
    <c:plotArea>
      <c:layout>
        <c:manualLayout>
          <c:layoutTarget val="inner"/>
          <c:xMode val="edge"/>
          <c:yMode val="edge"/>
          <c:x val="0.138599252409994"/>
          <c:y val="0.107172931179668"/>
          <c:w val="0.756836513869762"/>
          <c:h val="0.712546888157391"/>
        </c:manualLayout>
      </c:layout>
      <c:lineChart>
        <c:grouping val="standard"/>
        <c:varyColors val="0"/>
        <c:ser>
          <c:idx val="0"/>
          <c:order val="0"/>
          <c:tx>
            <c:strRef>
              <c:f>Graph!$E$3</c:f>
              <c:strCache>
                <c:ptCount val="1"/>
                <c:pt idx="0">
                  <c:v>Target Av. Farm Cover kg DM/ha</c:v>
                </c:pt>
              </c:strCache>
            </c:strRef>
          </c:tx>
          <c:spPr>
            <a:solidFill>
              <a:srgbClr val="000080"/>
            </a:solidFill>
            <a:ln w="25200">
              <a:solidFill>
                <a:srgbClr val="000080"/>
              </a:solidFill>
              <a:round/>
            </a:ln>
          </c:spPr>
          <c:marker>
            <c:symbol val="diamond"/>
            <c:size val="5"/>
            <c:spPr>
              <a:solidFill>
                <a:srgbClr val="000080"/>
              </a:solidFill>
            </c:spPr>
          </c:marker>
          <c:dLbls>
            <c:dLbl>
              <c:idx val="4"/>
              <c:dLblPos val="b"/>
              <c:showLegendKey val="0"/>
              <c:showVal val="1"/>
              <c:showCatName val="0"/>
              <c:showSerName val="0"/>
              <c:showPercent val="0"/>
            </c:dLbl>
            <c:dLblPos val="b"/>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Graph!$E$4:$E$15</c:f>
              <c:numCache>
                <c:formatCode>General</c:formatCode>
                <c:ptCount val="12"/>
                <c:pt idx="0">
                  <c:v>2000</c:v>
                </c:pt>
                <c:pt idx="1">
                  <c:v>2200</c:v>
                </c:pt>
                <c:pt idx="2">
                  <c:v>2300</c:v>
                </c:pt>
                <c:pt idx="3">
                  <c:v>2500</c:v>
                </c:pt>
                <c:pt idx="4">
                  <c:v>2000</c:v>
                </c:pt>
                <c:pt idx="5">
                  <c:v>1800</c:v>
                </c:pt>
                <c:pt idx="6">
                  <c:v>2200</c:v>
                </c:pt>
                <c:pt idx="7">
                  <c:v>2500</c:v>
                </c:pt>
                <c:pt idx="8">
                  <c:v>2400</c:v>
                </c:pt>
                <c:pt idx="9">
                  <c:v>2000</c:v>
                </c:pt>
                <c:pt idx="10">
                  <c:v>2000</c:v>
                </c:pt>
                <c:pt idx="11">
                  <c:v>1800</c:v>
                </c:pt>
              </c:numCache>
            </c:numRef>
          </c:val>
          <c:smooth val="1"/>
        </c:ser>
        <c:ser>
          <c:idx val="1"/>
          <c:order val="1"/>
          <c:tx>
            <c:strRef>
              <c:f>Graph!$F$3</c:f>
              <c:strCache>
                <c:ptCount val="1"/>
                <c:pt idx="0">
                  <c:v>Forecast end of period Av Farm Cover kg DM/ha</c:v>
                </c:pt>
              </c:strCache>
            </c:strRef>
          </c:tx>
          <c:spPr>
            <a:solidFill>
              <a:srgbClr val="ff420e"/>
            </a:solidFill>
            <a:ln w="28800">
              <a:solidFill>
                <a:srgbClr val="ff420e"/>
              </a:solidFill>
              <a:round/>
            </a:ln>
          </c:spPr>
          <c:marker>
            <c:symbol val="square"/>
            <c:size val="8"/>
            <c:spPr>
              <a:solidFill>
                <a:srgbClr val="ff420e"/>
              </a:solidFill>
            </c:spPr>
          </c:marker>
          <c:dLbls>
            <c:dLblPos val="t"/>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Graph!$F$4:$F$15</c:f>
              <c:numCache>
                <c:formatCode>General</c:formatCode>
                <c:ptCount val="12"/>
                <c:pt idx="0">
                  <c:v>2390</c:v>
                </c:pt>
                <c:pt idx="1">
                  <c:v>2680.42105263158</c:v>
                </c:pt>
                <c:pt idx="2">
                  <c:v>2563.75438596491</c:v>
                </c:pt>
                <c:pt idx="3">
                  <c:v>2237.22105263158</c:v>
                </c:pt>
                <c:pt idx="4">
                  <c:v>2053.15855263158</c:v>
                </c:pt>
                <c:pt idx="5">
                  <c:v>2304.13894478845</c:v>
                </c:pt>
                <c:pt idx="6">
                  <c:v>2522.96247420022</c:v>
                </c:pt>
                <c:pt idx="7">
                  <c:v>2968.55070949433</c:v>
                </c:pt>
                <c:pt idx="8">
                  <c:v>3129.08642378004</c:v>
                </c:pt>
                <c:pt idx="9">
                  <c:v>2855.55701201534</c:v>
                </c:pt>
                <c:pt idx="10">
                  <c:v>2196.73348260358</c:v>
                </c:pt>
                <c:pt idx="11">
                  <c:v>1972.84459371469</c:v>
                </c:pt>
              </c:numCache>
            </c:numRef>
          </c:val>
          <c:smooth val="1"/>
        </c:ser>
        <c:hiLowLines>
          <c:spPr>
            <a:ln>
              <a:noFill/>
            </a:ln>
          </c:spPr>
        </c:hiLowLines>
        <c:marker val="1"/>
        <c:axId val="60879962"/>
        <c:axId val="52547127"/>
      </c:lineChart>
      <c:catAx>
        <c:axId val="60879962"/>
        <c:scaling>
          <c:orientation val="minMax"/>
        </c:scaling>
        <c:delete val="0"/>
        <c:axPos val="b"/>
        <c:majorGridlines>
          <c:spPr>
            <a:ln>
              <a:solidFill>
                <a:srgbClr val="3c3c3c"/>
              </a:solidFill>
            </a:ln>
          </c:spPr>
        </c:majorGridlines>
        <c:title>
          <c:tx>
            <c:rich>
              <a:bodyPr rot="0"/>
              <a:lstStyle/>
              <a:p>
                <a:pPr>
                  <a:defRPr b="0" sz="900" spc="-1" strike="noStrike">
                    <a:solidFill>
                      <a:srgbClr val="000000"/>
                    </a:solidFill>
                    <a:uFill>
                      <a:solidFill>
                        <a:srgbClr val="ffffff"/>
                      </a:solidFill>
                    </a:uFill>
                    <a:latin typeface="Arial"/>
                  </a:defRPr>
                </a:pPr>
                <a:r>
                  <a:rPr b="0" sz="900" spc="-1" strike="noStrike">
                    <a:solidFill>
                      <a:srgbClr val="000000"/>
                    </a:solidFill>
                    <a:uFill>
                      <a:solidFill>
                        <a:srgbClr val="ffffff"/>
                      </a:solidFill>
                    </a:uFill>
                    <a:latin typeface="Arial"/>
                  </a:rPr>
                  <a:t>DATE (end of period) </a:t>
                </a:r>
              </a:p>
            </c:rich>
          </c:tx>
          <c:layout>
            <c:manualLayout>
              <c:xMode val="edge"/>
              <c:yMode val="edge"/>
              <c:x val="0.411567971670273"/>
              <c:y val="0.939523845977188"/>
            </c:manualLayout>
          </c:layout>
          <c:overlay val="0"/>
        </c:title>
        <c:numFmt formatCode="D\ MMM\ YY"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52547127"/>
        <c:crossesAt val="6"/>
        <c:auto val="1"/>
        <c:lblAlgn val="ctr"/>
        <c:lblOffset val="100"/>
      </c:catAx>
      <c:valAx>
        <c:axId val="52547127"/>
        <c:scaling>
          <c:orientation val="minMax"/>
        </c:scaling>
        <c:delete val="0"/>
        <c:axPos val="l"/>
        <c:majorGridlines>
          <c:spPr>
            <a:ln>
              <a:solidFill>
                <a:srgbClr val="3c3c3c"/>
              </a:solidFill>
            </a:ln>
          </c:spPr>
        </c:majorGridlines>
        <c:minorGridlines>
          <c:spPr>
            <a:ln>
              <a:solidFill>
                <a:srgbClr val="3c3c3c"/>
              </a:solidFill>
            </a:ln>
          </c:spPr>
        </c:minorGridlines>
        <c:title>
          <c:tx>
            <c:rich>
              <a:bodyPr rot="-5400000"/>
              <a:lstStyle/>
              <a:p>
                <a:pPr>
                  <a:defRPr b="0" sz="1200" spc="-1" strike="noStrike">
                    <a:solidFill>
                      <a:srgbClr val="3c3c3c"/>
                    </a:solidFill>
                    <a:uFill>
                      <a:solidFill>
                        <a:srgbClr val="ffffff"/>
                      </a:solidFill>
                    </a:uFill>
                    <a:latin typeface="Arial"/>
                  </a:defRPr>
                </a:pPr>
                <a:r>
                  <a:rPr b="0" sz="1200" spc="-1" strike="noStrike">
                    <a:solidFill>
                      <a:srgbClr val="3c3c3c"/>
                    </a:solidFill>
                    <a:uFill>
                      <a:solidFill>
                        <a:srgbClr val="ffffff"/>
                      </a:solidFill>
                    </a:uFill>
                    <a:latin typeface="Arial"/>
                  </a:rPr>
                  <a:t>Average Farm Cover kgDM/Ha</a:t>
                </a:r>
              </a:p>
            </c:rich>
          </c:tx>
          <c:layout>
            <c:manualLayout>
              <c:xMode val="edge"/>
              <c:yMode val="edge"/>
              <c:x val="0.0415109187487704"/>
              <c:y val="0.686519176299472"/>
            </c:manualLayout>
          </c:layout>
          <c:overlay val="0"/>
        </c:title>
        <c:numFmt formatCode="0"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60879962"/>
        <c:crossesAt val="1"/>
        <c:crossBetween val="midCat"/>
      </c:valAx>
      <c:spPr>
        <a:noFill/>
        <a:ln w="37800">
          <a:solidFill>
            <a:srgbClr val="ffffff"/>
          </a:solidFill>
          <a:round/>
        </a:ln>
      </c:spPr>
    </c:plotArea>
    <c:legend>
      <c:layout>
        <c:manualLayout>
          <c:xMode val="edge"/>
          <c:yMode val="edge"/>
          <c:x val="0.571070234113712"/>
          <c:y val="0.0443236622521626"/>
        </c:manualLayout>
      </c:layout>
      <c:spPr>
        <a:solidFill>
          <a:srgbClr val="ffffff"/>
        </a:solidFill>
        <a:ln>
          <a:solidFill>
            <a:srgbClr val="3c3c3c"/>
          </a:solidFill>
        </a:ln>
      </c:spPr>
    </c:legend>
    <c:plotVisOnly val="1"/>
    <c:dispBlanksAs val="gap"/>
  </c:chart>
  <c:spPr>
    <a:solidFill>
      <a:srgbClr val="ffffff"/>
    </a:solidFill>
    <a:ln>
      <a:solidFill>
        <a:srgbClr val="3c3c3c"/>
      </a:solidFill>
    </a:ln>
  </c:spPr>
</c:chartSpace>
</file>

<file path=xl/charts/chart15.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solidFill>
                  <a:srgbClr val="000000"/>
                </a:solidFill>
                <a:uFill>
                  <a:solidFill>
                    <a:srgbClr val="ffffff"/>
                  </a:solidFill>
                </a:uFill>
                <a:latin typeface="Arial"/>
              </a:defRPr>
            </a:pPr>
            <a:r>
              <a:rPr b="0" sz="1300" spc="-1" strike="noStrike">
                <a:solidFill>
                  <a:srgbClr val="000000"/>
                </a:solidFill>
                <a:uFill>
                  <a:solidFill>
                    <a:srgbClr val="ffffff"/>
                  </a:solidFill>
                </a:uFill>
                <a:latin typeface="Arial"/>
              </a:rPr>
              <a:t>Average Farm Cover - Target vs Forecasted</a:t>
            </a:r>
          </a:p>
        </c:rich>
      </c:tx>
      <c:layout>
        <c:manualLayout>
          <c:xMode val="edge"/>
          <c:yMode val="edge"/>
          <c:x val="0.104613417273264"/>
          <c:y val="0.0292428997933093"/>
        </c:manualLayout>
      </c:layout>
      <c:overlay val="0"/>
    </c:title>
    <c:autoTitleDeleted val="0"/>
    <c:plotArea>
      <c:layout>
        <c:manualLayout>
          <c:layoutTarget val="inner"/>
          <c:xMode val="edge"/>
          <c:yMode val="edge"/>
          <c:x val="0.138599252409994"/>
          <c:y val="0.107172931179668"/>
          <c:w val="0.756836513869762"/>
          <c:h val="0.712546888157391"/>
        </c:manualLayout>
      </c:layout>
      <c:lineChart>
        <c:grouping val="standard"/>
        <c:varyColors val="0"/>
        <c:ser>
          <c:idx val="0"/>
          <c:order val="0"/>
          <c:tx>
            <c:strRef>
              <c:f>Graph!$E$3</c:f>
              <c:strCache>
                <c:ptCount val="1"/>
                <c:pt idx="0">
                  <c:v>Target Av. Farm Cover kg DM/ha</c:v>
                </c:pt>
              </c:strCache>
            </c:strRef>
          </c:tx>
          <c:spPr>
            <a:solidFill>
              <a:srgbClr val="000080"/>
            </a:solidFill>
            <a:ln w="25200">
              <a:solidFill>
                <a:srgbClr val="000080"/>
              </a:solidFill>
              <a:round/>
            </a:ln>
          </c:spPr>
          <c:marker>
            <c:symbol val="diamond"/>
            <c:size val="5"/>
            <c:spPr>
              <a:solidFill>
                <a:srgbClr val="000080"/>
              </a:solidFill>
            </c:spPr>
          </c:marker>
          <c:dLbls>
            <c:dLbl>
              <c:idx val="4"/>
              <c:dLblPos val="b"/>
              <c:showLegendKey val="0"/>
              <c:showVal val="1"/>
              <c:showCatName val="0"/>
              <c:showSerName val="0"/>
              <c:showPercent val="0"/>
            </c:dLbl>
            <c:dLblPos val="b"/>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Graph!$E$4:$E$15</c:f>
              <c:numCache>
                <c:formatCode>General</c:formatCode>
                <c:ptCount val="12"/>
                <c:pt idx="0">
                  <c:v>2000</c:v>
                </c:pt>
                <c:pt idx="1">
                  <c:v>2200</c:v>
                </c:pt>
                <c:pt idx="2">
                  <c:v>2300</c:v>
                </c:pt>
                <c:pt idx="3">
                  <c:v>2500</c:v>
                </c:pt>
                <c:pt idx="4">
                  <c:v>2000</c:v>
                </c:pt>
                <c:pt idx="5">
                  <c:v>1800</c:v>
                </c:pt>
                <c:pt idx="6">
                  <c:v>2200</c:v>
                </c:pt>
                <c:pt idx="7">
                  <c:v>2500</c:v>
                </c:pt>
                <c:pt idx="8">
                  <c:v>2400</c:v>
                </c:pt>
                <c:pt idx="9">
                  <c:v>2000</c:v>
                </c:pt>
                <c:pt idx="10">
                  <c:v>2000</c:v>
                </c:pt>
                <c:pt idx="11">
                  <c:v>1800</c:v>
                </c:pt>
              </c:numCache>
            </c:numRef>
          </c:val>
          <c:smooth val="1"/>
        </c:ser>
        <c:ser>
          <c:idx val="1"/>
          <c:order val="1"/>
          <c:tx>
            <c:strRef>
              <c:f>Graph!$F$3</c:f>
              <c:strCache>
                <c:ptCount val="1"/>
                <c:pt idx="0">
                  <c:v>Forecast end of period Av Farm Cover kg DM/ha</c:v>
                </c:pt>
              </c:strCache>
            </c:strRef>
          </c:tx>
          <c:spPr>
            <a:solidFill>
              <a:srgbClr val="ff420e"/>
            </a:solidFill>
            <a:ln w="28800">
              <a:solidFill>
                <a:srgbClr val="ff420e"/>
              </a:solidFill>
              <a:round/>
            </a:ln>
          </c:spPr>
          <c:marker>
            <c:symbol val="square"/>
            <c:size val="8"/>
            <c:spPr>
              <a:solidFill>
                <a:srgbClr val="ff420e"/>
              </a:solidFill>
            </c:spPr>
          </c:marker>
          <c:dLbls>
            <c:dLblPos val="t"/>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Graph!$F$4:$F$15</c:f>
              <c:numCache>
                <c:formatCode>General</c:formatCode>
                <c:ptCount val="12"/>
                <c:pt idx="0">
                  <c:v>2390</c:v>
                </c:pt>
                <c:pt idx="1">
                  <c:v>2680.42105263158</c:v>
                </c:pt>
                <c:pt idx="2">
                  <c:v>2563.75438596491</c:v>
                </c:pt>
                <c:pt idx="3">
                  <c:v>2237.22105263158</c:v>
                </c:pt>
                <c:pt idx="4">
                  <c:v>2053.15855263158</c:v>
                </c:pt>
                <c:pt idx="5">
                  <c:v>2304.13894478845</c:v>
                </c:pt>
                <c:pt idx="6">
                  <c:v>2522.96247420022</c:v>
                </c:pt>
                <c:pt idx="7">
                  <c:v>2968.55070949433</c:v>
                </c:pt>
                <c:pt idx="8">
                  <c:v>3129.08642378004</c:v>
                </c:pt>
                <c:pt idx="9">
                  <c:v>2855.55701201534</c:v>
                </c:pt>
                <c:pt idx="10">
                  <c:v>2196.73348260358</c:v>
                </c:pt>
                <c:pt idx="11">
                  <c:v>1972.84459371469</c:v>
                </c:pt>
              </c:numCache>
            </c:numRef>
          </c:val>
          <c:smooth val="1"/>
        </c:ser>
        <c:hiLowLines>
          <c:spPr>
            <a:ln>
              <a:noFill/>
            </a:ln>
          </c:spPr>
        </c:hiLowLines>
        <c:marker val="1"/>
        <c:axId val="37426160"/>
        <c:axId val="91824496"/>
      </c:lineChart>
      <c:catAx>
        <c:axId val="37426160"/>
        <c:scaling>
          <c:orientation val="minMax"/>
        </c:scaling>
        <c:delete val="0"/>
        <c:axPos val="b"/>
        <c:majorGridlines>
          <c:spPr>
            <a:ln>
              <a:solidFill>
                <a:srgbClr val="3c3c3c"/>
              </a:solidFill>
            </a:ln>
          </c:spPr>
        </c:majorGridlines>
        <c:title>
          <c:tx>
            <c:rich>
              <a:bodyPr rot="0"/>
              <a:lstStyle/>
              <a:p>
                <a:pPr>
                  <a:defRPr b="0" sz="900" spc="-1" strike="noStrike">
                    <a:solidFill>
                      <a:srgbClr val="000000"/>
                    </a:solidFill>
                    <a:uFill>
                      <a:solidFill>
                        <a:srgbClr val="ffffff"/>
                      </a:solidFill>
                    </a:uFill>
                    <a:latin typeface="Arial"/>
                  </a:defRPr>
                </a:pPr>
                <a:r>
                  <a:rPr b="0" sz="900" spc="-1" strike="noStrike">
                    <a:solidFill>
                      <a:srgbClr val="000000"/>
                    </a:solidFill>
                    <a:uFill>
                      <a:solidFill>
                        <a:srgbClr val="ffffff"/>
                      </a:solidFill>
                    </a:uFill>
                    <a:latin typeface="Arial"/>
                  </a:rPr>
                  <a:t>DATE (end of period) </a:t>
                </a:r>
              </a:p>
            </c:rich>
          </c:tx>
          <c:layout>
            <c:manualLayout>
              <c:xMode val="edge"/>
              <c:yMode val="edge"/>
              <c:x val="0.411617155223293"/>
              <c:y val="0.939523845977188"/>
            </c:manualLayout>
          </c:layout>
          <c:overlay val="0"/>
        </c:title>
        <c:numFmt formatCode="D\ MMM\ YY"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91824496"/>
        <c:crossesAt val="6"/>
        <c:auto val="1"/>
        <c:lblAlgn val="ctr"/>
        <c:lblOffset val="100"/>
      </c:catAx>
      <c:valAx>
        <c:axId val="91824496"/>
        <c:scaling>
          <c:orientation val="minMax"/>
        </c:scaling>
        <c:delete val="0"/>
        <c:axPos val="l"/>
        <c:majorGridlines>
          <c:spPr>
            <a:ln>
              <a:solidFill>
                <a:srgbClr val="3c3c3c"/>
              </a:solidFill>
            </a:ln>
          </c:spPr>
        </c:majorGridlines>
        <c:minorGridlines>
          <c:spPr>
            <a:ln>
              <a:solidFill>
                <a:srgbClr val="3c3c3c"/>
              </a:solidFill>
            </a:ln>
          </c:spPr>
        </c:minorGridlines>
        <c:title>
          <c:tx>
            <c:rich>
              <a:bodyPr rot="-5400000"/>
              <a:lstStyle/>
              <a:p>
                <a:pPr>
                  <a:defRPr b="0" sz="1200" spc="-1" strike="noStrike">
                    <a:solidFill>
                      <a:srgbClr val="3c3c3c"/>
                    </a:solidFill>
                    <a:uFill>
                      <a:solidFill>
                        <a:srgbClr val="ffffff"/>
                      </a:solidFill>
                    </a:uFill>
                    <a:latin typeface="Arial"/>
                  </a:defRPr>
                </a:pPr>
                <a:r>
                  <a:rPr b="0" sz="1200" spc="-1" strike="noStrike">
                    <a:solidFill>
                      <a:srgbClr val="3c3c3c"/>
                    </a:solidFill>
                    <a:uFill>
                      <a:solidFill>
                        <a:srgbClr val="ffffff"/>
                      </a:solidFill>
                    </a:uFill>
                    <a:latin typeface="Arial"/>
                  </a:rPr>
                  <a:t>Average Farm Cover kgDM/Ha</a:t>
                </a:r>
              </a:p>
            </c:rich>
          </c:tx>
          <c:layout>
            <c:manualLayout>
              <c:xMode val="edge"/>
              <c:yMode val="edge"/>
              <c:x val="0.0415109187487704"/>
              <c:y val="0.686442624205772"/>
            </c:manualLayout>
          </c:layout>
          <c:overlay val="0"/>
        </c:title>
        <c:numFmt formatCode="0"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37426160"/>
        <c:crossesAt val="1"/>
        <c:crossBetween val="midCat"/>
      </c:valAx>
      <c:spPr>
        <a:noFill/>
        <a:ln w="37800">
          <a:solidFill>
            <a:srgbClr val="ffffff"/>
          </a:solidFill>
          <a:round/>
        </a:ln>
      </c:spPr>
    </c:plotArea>
    <c:legend>
      <c:layout>
        <c:manualLayout>
          <c:xMode val="edge"/>
          <c:yMode val="edge"/>
          <c:x val="0.571070234113712"/>
          <c:y val="0.0443236622521626"/>
        </c:manualLayout>
      </c:layout>
      <c:spPr>
        <a:solidFill>
          <a:srgbClr val="ffffff"/>
        </a:solidFill>
        <a:ln>
          <a:solidFill>
            <a:srgbClr val="3c3c3c"/>
          </a:solidFill>
        </a:ln>
      </c:spPr>
    </c:legend>
    <c:plotVisOnly val="1"/>
    <c:dispBlanksAs val="gap"/>
  </c:chart>
  <c:spPr>
    <a:solidFill>
      <a:srgbClr val="ffffff"/>
    </a:solidFill>
    <a:ln>
      <a:solidFill>
        <a:srgbClr val="3c3c3c"/>
      </a:solidFill>
    </a:ln>
  </c:spPr>
</c:chartSpace>
</file>

<file path=xl/charts/chart16.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solidFill>
                  <a:srgbClr val="000000"/>
                </a:solidFill>
                <a:uFill>
                  <a:solidFill>
                    <a:srgbClr val="ffffff"/>
                  </a:solidFill>
                </a:uFill>
                <a:latin typeface="Arial"/>
              </a:defRPr>
            </a:pPr>
            <a:r>
              <a:rPr b="0" sz="1300" spc="-1" strike="noStrike">
                <a:solidFill>
                  <a:srgbClr val="000000"/>
                </a:solidFill>
                <a:uFill>
                  <a:solidFill>
                    <a:srgbClr val="ffffff"/>
                  </a:solidFill>
                </a:uFill>
                <a:latin typeface="Arial"/>
              </a:rPr>
              <a:t>Average Farm Cover - Target vs Forecasted</a:t>
            </a:r>
          </a:p>
        </c:rich>
      </c:tx>
      <c:layout>
        <c:manualLayout>
          <c:xMode val="edge"/>
          <c:yMode val="edge"/>
          <c:x val="0.104662600826284"/>
          <c:y val="0.0293194518870091"/>
        </c:manualLayout>
      </c:layout>
      <c:overlay val="0"/>
    </c:title>
    <c:autoTitleDeleted val="0"/>
    <c:plotArea>
      <c:layout>
        <c:manualLayout>
          <c:layoutTarget val="inner"/>
          <c:xMode val="edge"/>
          <c:yMode val="edge"/>
          <c:x val="0.138599252409994"/>
          <c:y val="0.107172931179668"/>
          <c:w val="0.756836513869762"/>
          <c:h val="0.712546888157391"/>
        </c:manualLayout>
      </c:layout>
      <c:lineChart>
        <c:grouping val="standard"/>
        <c:varyColors val="0"/>
        <c:ser>
          <c:idx val="0"/>
          <c:order val="0"/>
          <c:tx>
            <c:strRef>
              <c:f>Graph!$E$3</c:f>
              <c:strCache>
                <c:ptCount val="1"/>
                <c:pt idx="0">
                  <c:v>Target Av. Farm Cover kg DM/ha</c:v>
                </c:pt>
              </c:strCache>
            </c:strRef>
          </c:tx>
          <c:spPr>
            <a:solidFill>
              <a:srgbClr val="000080"/>
            </a:solidFill>
            <a:ln w="25200">
              <a:solidFill>
                <a:srgbClr val="000080"/>
              </a:solidFill>
              <a:round/>
            </a:ln>
          </c:spPr>
          <c:marker>
            <c:symbol val="diamond"/>
            <c:size val="5"/>
            <c:spPr>
              <a:solidFill>
                <a:srgbClr val="000080"/>
              </a:solidFill>
            </c:spPr>
          </c:marker>
          <c:dLbls>
            <c:dLbl>
              <c:idx val="4"/>
              <c:dLblPos val="b"/>
              <c:showLegendKey val="0"/>
              <c:showVal val="1"/>
              <c:showCatName val="0"/>
              <c:showSerName val="0"/>
              <c:showPercent val="0"/>
            </c:dLbl>
            <c:dLblPos val="b"/>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Graph!$E$4:$E$15</c:f>
              <c:numCache>
                <c:formatCode>General</c:formatCode>
                <c:ptCount val="12"/>
                <c:pt idx="0">
                  <c:v>2000</c:v>
                </c:pt>
                <c:pt idx="1">
                  <c:v>2200</c:v>
                </c:pt>
                <c:pt idx="2">
                  <c:v>2300</c:v>
                </c:pt>
                <c:pt idx="3">
                  <c:v>2500</c:v>
                </c:pt>
                <c:pt idx="4">
                  <c:v>2000</c:v>
                </c:pt>
                <c:pt idx="5">
                  <c:v>1800</c:v>
                </c:pt>
                <c:pt idx="6">
                  <c:v>2200</c:v>
                </c:pt>
                <c:pt idx="7">
                  <c:v>2500</c:v>
                </c:pt>
                <c:pt idx="8">
                  <c:v>2400</c:v>
                </c:pt>
                <c:pt idx="9">
                  <c:v>2000</c:v>
                </c:pt>
                <c:pt idx="10">
                  <c:v>2000</c:v>
                </c:pt>
                <c:pt idx="11">
                  <c:v>1800</c:v>
                </c:pt>
              </c:numCache>
            </c:numRef>
          </c:val>
          <c:smooth val="1"/>
        </c:ser>
        <c:ser>
          <c:idx val="1"/>
          <c:order val="1"/>
          <c:tx>
            <c:strRef>
              <c:f>Graph!$F$3</c:f>
              <c:strCache>
                <c:ptCount val="1"/>
                <c:pt idx="0">
                  <c:v>Forecast end of period Av Farm Cover kg DM/ha</c:v>
                </c:pt>
              </c:strCache>
            </c:strRef>
          </c:tx>
          <c:spPr>
            <a:solidFill>
              <a:srgbClr val="ff420e"/>
            </a:solidFill>
            <a:ln w="28800">
              <a:solidFill>
                <a:srgbClr val="ff420e"/>
              </a:solidFill>
              <a:round/>
            </a:ln>
          </c:spPr>
          <c:marker>
            <c:symbol val="square"/>
            <c:size val="8"/>
            <c:spPr>
              <a:solidFill>
                <a:srgbClr val="ff420e"/>
              </a:solidFill>
            </c:spPr>
          </c:marker>
          <c:dLbls>
            <c:dLblPos val="t"/>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Graph!$F$4:$F$15</c:f>
              <c:numCache>
                <c:formatCode>General</c:formatCode>
                <c:ptCount val="12"/>
                <c:pt idx="0">
                  <c:v>2390</c:v>
                </c:pt>
                <c:pt idx="1">
                  <c:v>2680.42105263158</c:v>
                </c:pt>
                <c:pt idx="2">
                  <c:v>2563.75438596491</c:v>
                </c:pt>
                <c:pt idx="3">
                  <c:v>2237.22105263158</c:v>
                </c:pt>
                <c:pt idx="4">
                  <c:v>2053.15855263158</c:v>
                </c:pt>
                <c:pt idx="5">
                  <c:v>2304.13894478845</c:v>
                </c:pt>
                <c:pt idx="6">
                  <c:v>2522.96247420022</c:v>
                </c:pt>
                <c:pt idx="7">
                  <c:v>2968.55070949433</c:v>
                </c:pt>
                <c:pt idx="8">
                  <c:v>3129.08642378004</c:v>
                </c:pt>
                <c:pt idx="9">
                  <c:v>2855.55701201534</c:v>
                </c:pt>
                <c:pt idx="10">
                  <c:v>2196.73348260358</c:v>
                </c:pt>
                <c:pt idx="11">
                  <c:v>1972.84459371469</c:v>
                </c:pt>
              </c:numCache>
            </c:numRef>
          </c:val>
          <c:smooth val="1"/>
        </c:ser>
        <c:hiLowLines>
          <c:spPr>
            <a:ln>
              <a:noFill/>
            </a:ln>
          </c:spPr>
        </c:hiLowLines>
        <c:marker val="1"/>
        <c:axId val="96022297"/>
        <c:axId val="73008402"/>
      </c:lineChart>
      <c:catAx>
        <c:axId val="96022297"/>
        <c:scaling>
          <c:orientation val="minMax"/>
        </c:scaling>
        <c:delete val="0"/>
        <c:axPos val="b"/>
        <c:majorGridlines>
          <c:spPr>
            <a:ln>
              <a:solidFill>
                <a:srgbClr val="3c3c3c"/>
              </a:solidFill>
            </a:ln>
          </c:spPr>
        </c:majorGridlines>
        <c:title>
          <c:tx>
            <c:rich>
              <a:bodyPr rot="0"/>
              <a:lstStyle/>
              <a:p>
                <a:pPr>
                  <a:defRPr b="0" sz="900" spc="-1" strike="noStrike">
                    <a:solidFill>
                      <a:srgbClr val="000000"/>
                    </a:solidFill>
                    <a:uFill>
                      <a:solidFill>
                        <a:srgbClr val="ffffff"/>
                      </a:solidFill>
                    </a:uFill>
                    <a:latin typeface="Arial"/>
                  </a:defRPr>
                </a:pPr>
                <a:r>
                  <a:rPr b="0" sz="900" spc="-1" strike="noStrike">
                    <a:solidFill>
                      <a:srgbClr val="000000"/>
                    </a:solidFill>
                    <a:uFill>
                      <a:solidFill>
                        <a:srgbClr val="ffffff"/>
                      </a:solidFill>
                    </a:uFill>
                    <a:latin typeface="Arial"/>
                  </a:rPr>
                  <a:t>DATE (end of period) </a:t>
                </a:r>
              </a:p>
            </c:rich>
          </c:tx>
          <c:layout>
            <c:manualLayout>
              <c:xMode val="edge"/>
              <c:yMode val="edge"/>
              <c:x val="0.411666338776313"/>
              <c:y val="0.939523845977188"/>
            </c:manualLayout>
          </c:layout>
          <c:overlay val="0"/>
        </c:title>
        <c:numFmt formatCode="D\ MMM\ YY"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73008402"/>
        <c:crossesAt val="6"/>
        <c:auto val="1"/>
        <c:lblAlgn val="ctr"/>
        <c:lblOffset val="100"/>
      </c:catAx>
      <c:valAx>
        <c:axId val="73008402"/>
        <c:scaling>
          <c:orientation val="minMax"/>
        </c:scaling>
        <c:delete val="0"/>
        <c:axPos val="l"/>
        <c:majorGridlines>
          <c:spPr>
            <a:ln>
              <a:solidFill>
                <a:srgbClr val="3c3c3c"/>
              </a:solidFill>
            </a:ln>
          </c:spPr>
        </c:majorGridlines>
        <c:minorGridlines>
          <c:spPr>
            <a:ln>
              <a:solidFill>
                <a:srgbClr val="3c3c3c"/>
              </a:solidFill>
            </a:ln>
          </c:spPr>
        </c:minorGridlines>
        <c:title>
          <c:tx>
            <c:rich>
              <a:bodyPr rot="-5400000"/>
              <a:lstStyle/>
              <a:p>
                <a:pPr>
                  <a:defRPr b="0" sz="1200" spc="-1" strike="noStrike">
                    <a:solidFill>
                      <a:srgbClr val="3c3c3c"/>
                    </a:solidFill>
                    <a:uFill>
                      <a:solidFill>
                        <a:srgbClr val="ffffff"/>
                      </a:solidFill>
                    </a:uFill>
                    <a:latin typeface="Arial"/>
                  </a:defRPr>
                </a:pPr>
                <a:r>
                  <a:rPr b="0" sz="1200" spc="-1" strike="noStrike">
                    <a:solidFill>
                      <a:srgbClr val="3c3c3c"/>
                    </a:solidFill>
                    <a:uFill>
                      <a:solidFill>
                        <a:srgbClr val="ffffff"/>
                      </a:solidFill>
                    </a:uFill>
                    <a:latin typeface="Arial"/>
                  </a:rPr>
                  <a:t>Average Farm Cover kgDM/Ha</a:t>
                </a:r>
              </a:p>
            </c:rich>
          </c:tx>
          <c:layout>
            <c:manualLayout>
              <c:xMode val="edge"/>
              <c:yMode val="edge"/>
              <c:x val="0.0415109187487704"/>
              <c:y val="0.686366072112072"/>
            </c:manualLayout>
          </c:layout>
          <c:overlay val="0"/>
        </c:title>
        <c:numFmt formatCode="0"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96022297"/>
        <c:crossesAt val="1"/>
        <c:crossBetween val="midCat"/>
      </c:valAx>
      <c:spPr>
        <a:noFill/>
        <a:ln w="37800">
          <a:solidFill>
            <a:srgbClr val="ffffff"/>
          </a:solidFill>
          <a:round/>
        </a:ln>
      </c:spPr>
    </c:plotArea>
    <c:legend>
      <c:layout>
        <c:manualLayout>
          <c:xMode val="edge"/>
          <c:yMode val="edge"/>
          <c:x val="0.571070234113712"/>
          <c:y val="0.0443236622521626"/>
        </c:manualLayout>
      </c:layout>
      <c:spPr>
        <a:solidFill>
          <a:srgbClr val="ffffff"/>
        </a:solidFill>
        <a:ln>
          <a:solidFill>
            <a:srgbClr val="3c3c3c"/>
          </a:solidFill>
        </a:ln>
      </c:spPr>
    </c:legend>
    <c:plotVisOnly val="1"/>
    <c:dispBlanksAs val="gap"/>
  </c:chart>
  <c:spPr>
    <a:solidFill>
      <a:srgbClr val="ffffff"/>
    </a:solidFill>
    <a:ln>
      <a:solidFill>
        <a:srgbClr val="3c3c3c"/>
      </a:solid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solidFill>
                  <a:srgbClr val="000000"/>
                </a:solidFill>
                <a:uFill>
                  <a:solidFill>
                    <a:srgbClr val="ffffff"/>
                  </a:solidFill>
                </a:uFill>
                <a:latin typeface="Arial"/>
              </a:defRPr>
            </a:pPr>
            <a:r>
              <a:rPr b="0" sz="1300" spc="-1" strike="noStrike">
                <a:solidFill>
                  <a:srgbClr val="000000"/>
                </a:solidFill>
                <a:uFill>
                  <a:solidFill>
                    <a:srgbClr val="ffffff"/>
                  </a:solidFill>
                </a:uFill>
                <a:latin typeface="Arial"/>
              </a:rPr>
              <a:t>Average Farm Cover - Target vs Forecasted</a:t>
            </a:r>
          </a:p>
        </c:rich>
      </c:tx>
      <c:layout>
        <c:manualLayout>
          <c:xMode val="edge"/>
          <c:yMode val="edge"/>
          <c:x val="0.104209698042687"/>
          <c:y val="0.0289453425712086"/>
        </c:manualLayout>
      </c:layout>
      <c:overlay val="0"/>
    </c:title>
    <c:autoTitleDeleted val="0"/>
    <c:plotArea>
      <c:layout>
        <c:manualLayout>
          <c:layoutTarget val="inner"/>
          <c:xMode val="edge"/>
          <c:yMode val="edge"/>
          <c:x val="0.138585620143602"/>
          <c:y val="0.107236335642802"/>
          <c:w val="0.756811252090095"/>
          <c:h val="0.712625096227868"/>
        </c:manualLayout>
      </c:layout>
      <c:lineChart>
        <c:grouping val="standard"/>
        <c:varyColors val="0"/>
        <c:ser>
          <c:idx val="0"/>
          <c:order val="0"/>
          <c:tx>
            <c:strRef>
              <c:f>Graph!$E$3</c:f>
              <c:strCache>
                <c:ptCount val="1"/>
                <c:pt idx="0">
                  <c:v>Target Av. Farm Cover kg DM/ha</c:v>
                </c:pt>
              </c:strCache>
            </c:strRef>
          </c:tx>
          <c:spPr>
            <a:solidFill>
              <a:srgbClr val="000080"/>
            </a:solidFill>
            <a:ln w="25200">
              <a:solidFill>
                <a:srgbClr val="000080"/>
              </a:solidFill>
              <a:round/>
            </a:ln>
          </c:spPr>
          <c:marker>
            <c:symbol val="diamond"/>
            <c:size val="5"/>
            <c:spPr>
              <a:solidFill>
                <a:srgbClr val="000080"/>
              </a:solidFill>
            </c:spPr>
          </c:marker>
          <c:dLbls>
            <c:dLbl>
              <c:idx val="4"/>
              <c:dLblPos val="b"/>
              <c:showLegendKey val="0"/>
              <c:showVal val="1"/>
              <c:showCatName val="0"/>
              <c:showSerName val="0"/>
              <c:showPercent val="0"/>
            </c:dLbl>
            <c:dLblPos val="b"/>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Graph!$E$4:$E$15</c:f>
              <c:numCache>
                <c:formatCode>General</c:formatCode>
                <c:ptCount val="12"/>
                <c:pt idx="0">
                  <c:v>2000</c:v>
                </c:pt>
                <c:pt idx="1">
                  <c:v>2200</c:v>
                </c:pt>
                <c:pt idx="2">
                  <c:v>2300</c:v>
                </c:pt>
                <c:pt idx="3">
                  <c:v>2500</c:v>
                </c:pt>
                <c:pt idx="4">
                  <c:v>2000</c:v>
                </c:pt>
                <c:pt idx="5">
                  <c:v>1800</c:v>
                </c:pt>
                <c:pt idx="6">
                  <c:v>2200</c:v>
                </c:pt>
                <c:pt idx="7">
                  <c:v>2500</c:v>
                </c:pt>
                <c:pt idx="8">
                  <c:v>2400</c:v>
                </c:pt>
                <c:pt idx="9">
                  <c:v>2000</c:v>
                </c:pt>
                <c:pt idx="10">
                  <c:v>2000</c:v>
                </c:pt>
                <c:pt idx="11">
                  <c:v>1800</c:v>
                </c:pt>
              </c:numCache>
            </c:numRef>
          </c:val>
          <c:smooth val="1"/>
        </c:ser>
        <c:ser>
          <c:idx val="1"/>
          <c:order val="1"/>
          <c:tx>
            <c:strRef>
              <c:f>Graph!$F$3</c:f>
              <c:strCache>
                <c:ptCount val="1"/>
                <c:pt idx="0">
                  <c:v>Forecast end of period Av Farm Cover kg DM/ha</c:v>
                </c:pt>
              </c:strCache>
            </c:strRef>
          </c:tx>
          <c:spPr>
            <a:solidFill>
              <a:srgbClr val="ff420e"/>
            </a:solidFill>
            <a:ln w="28800">
              <a:solidFill>
                <a:srgbClr val="ff420e"/>
              </a:solidFill>
              <a:round/>
            </a:ln>
          </c:spPr>
          <c:marker>
            <c:symbol val="square"/>
            <c:size val="8"/>
            <c:spPr>
              <a:solidFill>
                <a:srgbClr val="ff420e"/>
              </a:solidFill>
            </c:spPr>
          </c:marker>
          <c:dLbls>
            <c:dLblPos val="t"/>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Graph!$F$4:$F$15</c:f>
              <c:numCache>
                <c:formatCode>General</c:formatCode>
                <c:ptCount val="12"/>
                <c:pt idx="0">
                  <c:v>2390</c:v>
                </c:pt>
                <c:pt idx="1">
                  <c:v>2680.42105263158</c:v>
                </c:pt>
                <c:pt idx="2">
                  <c:v>2563.75438596491</c:v>
                </c:pt>
                <c:pt idx="3">
                  <c:v>2237.22105263158</c:v>
                </c:pt>
                <c:pt idx="4">
                  <c:v>2053.15855263158</c:v>
                </c:pt>
                <c:pt idx="5">
                  <c:v>2304.13894478845</c:v>
                </c:pt>
                <c:pt idx="6">
                  <c:v>2522.96247420022</c:v>
                </c:pt>
                <c:pt idx="7">
                  <c:v>2968.55070949433</c:v>
                </c:pt>
                <c:pt idx="8">
                  <c:v>3129.08642378004</c:v>
                </c:pt>
                <c:pt idx="9">
                  <c:v>2855.55701201534</c:v>
                </c:pt>
                <c:pt idx="10">
                  <c:v>2196.73348260358</c:v>
                </c:pt>
                <c:pt idx="11">
                  <c:v>1972.84459371469</c:v>
                </c:pt>
              </c:numCache>
            </c:numRef>
          </c:val>
          <c:smooth val="1"/>
        </c:ser>
        <c:hiLowLines>
          <c:spPr>
            <a:ln>
              <a:noFill/>
            </a:ln>
          </c:spPr>
        </c:hiLowLines>
        <c:marker val="1"/>
        <c:axId val="2006721"/>
        <c:axId val="86354187"/>
      </c:lineChart>
      <c:catAx>
        <c:axId val="2006721"/>
        <c:scaling>
          <c:orientation val="minMax"/>
        </c:scaling>
        <c:delete val="0"/>
        <c:axPos val="b"/>
        <c:majorGridlines>
          <c:spPr>
            <a:ln>
              <a:solidFill>
                <a:srgbClr val="3c3c3c"/>
              </a:solidFill>
            </a:ln>
          </c:spPr>
        </c:majorGridlines>
        <c:title>
          <c:tx>
            <c:rich>
              <a:bodyPr rot="0"/>
              <a:lstStyle/>
              <a:p>
                <a:pPr>
                  <a:defRPr b="0" sz="900" spc="-1" strike="noStrike">
                    <a:solidFill>
                      <a:srgbClr val="000000"/>
                    </a:solidFill>
                    <a:uFill>
                      <a:solidFill>
                        <a:srgbClr val="ffffff"/>
                      </a:solidFill>
                    </a:uFill>
                    <a:latin typeface="Arial"/>
                  </a:defRPr>
                </a:pPr>
                <a:r>
                  <a:rPr b="0" sz="900" spc="-1" strike="noStrike">
                    <a:solidFill>
                      <a:srgbClr val="000000"/>
                    </a:solidFill>
                    <a:uFill>
                      <a:solidFill>
                        <a:srgbClr val="ffffff"/>
                      </a:solidFill>
                    </a:uFill>
                    <a:latin typeface="Arial"/>
                  </a:rPr>
                  <a:t>DATE (end of period) </a:t>
                </a:r>
              </a:p>
            </c:rich>
          </c:tx>
          <c:layout>
            <c:manualLayout>
              <c:xMode val="edge"/>
              <c:yMode val="edge"/>
              <c:x val="0.41133077604013"/>
              <c:y val="0.939491916859122"/>
            </c:manualLayout>
          </c:layout>
          <c:overlay val="0"/>
        </c:title>
        <c:numFmt formatCode="D\ MMM\ YY"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86354187"/>
        <c:crossesAt val="6"/>
        <c:auto val="1"/>
        <c:lblAlgn val="ctr"/>
        <c:lblOffset val="100"/>
      </c:catAx>
      <c:valAx>
        <c:axId val="86354187"/>
        <c:scaling>
          <c:orientation val="minMax"/>
        </c:scaling>
        <c:delete val="0"/>
        <c:axPos val="l"/>
        <c:majorGridlines>
          <c:spPr>
            <a:ln>
              <a:solidFill>
                <a:srgbClr val="3c3c3c"/>
              </a:solidFill>
            </a:ln>
          </c:spPr>
        </c:majorGridlines>
        <c:minorGridlines>
          <c:spPr>
            <a:ln>
              <a:solidFill>
                <a:srgbClr val="3c3c3c"/>
              </a:solidFill>
            </a:ln>
          </c:spPr>
        </c:minorGridlines>
        <c:title>
          <c:tx>
            <c:rich>
              <a:bodyPr rot="-5400000"/>
              <a:lstStyle/>
              <a:p>
                <a:pPr>
                  <a:defRPr b="0" sz="1200" spc="-1" strike="noStrike">
                    <a:solidFill>
                      <a:srgbClr val="3c3c3c"/>
                    </a:solidFill>
                    <a:uFill>
                      <a:solidFill>
                        <a:srgbClr val="ffffff"/>
                      </a:solidFill>
                    </a:uFill>
                    <a:latin typeface="Arial"/>
                  </a:defRPr>
                </a:pPr>
                <a:r>
                  <a:rPr b="0" sz="1200" spc="-1" strike="noStrike">
                    <a:solidFill>
                      <a:srgbClr val="3c3c3c"/>
                    </a:solidFill>
                    <a:uFill>
                      <a:solidFill>
                        <a:srgbClr val="ffffff"/>
                      </a:solidFill>
                    </a:uFill>
                    <a:latin typeface="Arial"/>
                  </a:rPr>
                  <a:t>Average Farm Cover kgDM/Ha</a:t>
                </a:r>
              </a:p>
            </c:rich>
          </c:tx>
          <c:layout>
            <c:manualLayout>
              <c:xMode val="edge"/>
              <c:yMode val="edge"/>
              <c:x val="0.0415068358414478"/>
              <c:y val="0.687143956889915"/>
            </c:manualLayout>
          </c:layout>
          <c:overlay val="0"/>
        </c:title>
        <c:numFmt formatCode="0"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2006721"/>
        <c:crossesAt val="1"/>
        <c:crossBetween val="midCat"/>
      </c:valAx>
      <c:spPr>
        <a:noFill/>
        <a:ln w="37800">
          <a:solidFill>
            <a:srgbClr val="ffffff"/>
          </a:solidFill>
          <a:round/>
        </a:ln>
      </c:spPr>
    </c:plotArea>
    <c:legend>
      <c:layout>
        <c:manualLayout>
          <c:xMode val="edge"/>
          <c:yMode val="edge"/>
          <c:x val="0.571063243828071"/>
          <c:y val="0.0444187836797537"/>
        </c:manualLayout>
      </c:layout>
      <c:spPr>
        <a:solidFill>
          <a:srgbClr val="ffffff"/>
        </a:solidFill>
        <a:ln>
          <a:solidFill>
            <a:srgbClr val="3c3c3c"/>
          </a:solidFill>
        </a:ln>
      </c:spPr>
    </c:legend>
    <c:plotVisOnly val="1"/>
    <c:dispBlanksAs val="gap"/>
  </c:chart>
  <c:spPr>
    <a:solidFill>
      <a:srgbClr val="ffffff"/>
    </a:solidFill>
    <a:ln>
      <a:solidFill>
        <a:srgbClr val="3c3c3c"/>
      </a:solidFill>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solidFill>
                  <a:srgbClr val="000000"/>
                </a:solidFill>
                <a:uFill>
                  <a:solidFill>
                    <a:srgbClr val="ffffff"/>
                  </a:solidFill>
                </a:uFill>
                <a:latin typeface="Arial"/>
              </a:defRPr>
            </a:pPr>
            <a:r>
              <a:rPr b="0" sz="1300" spc="-1" strike="noStrike">
                <a:solidFill>
                  <a:srgbClr val="000000"/>
                </a:solidFill>
                <a:uFill>
                  <a:solidFill>
                    <a:srgbClr val="ffffff"/>
                  </a:solidFill>
                </a:uFill>
                <a:latin typeface="Arial"/>
              </a:rPr>
              <a:t>Average Farm Cover - Target vs Forecasted</a:t>
            </a:r>
          </a:p>
        </c:rich>
      </c:tx>
      <c:layout>
        <c:manualLayout>
          <c:xMode val="edge"/>
          <c:yMode val="edge"/>
          <c:x val="0.1042015153006"/>
          <c:y val="0.0285758299314488"/>
        </c:manualLayout>
      </c:layout>
      <c:overlay val="0"/>
    </c:title>
    <c:autoTitleDeleted val="0"/>
    <c:plotArea>
      <c:layout>
        <c:manualLayout>
          <c:layoutTarget val="inner"/>
          <c:xMode val="edge"/>
          <c:yMode val="edge"/>
          <c:x val="0.138590967234084"/>
          <c:y val="0.107140106292844"/>
          <c:w val="0.756813932893831"/>
          <c:h val="0.712470153277363"/>
        </c:manualLayout>
      </c:layout>
      <c:lineChart>
        <c:grouping val="standard"/>
        <c:varyColors val="0"/>
        <c:ser>
          <c:idx val="0"/>
          <c:order val="0"/>
          <c:tx>
            <c:strRef>
              <c:f>Graph!$E$3</c:f>
              <c:strCache>
                <c:ptCount val="1"/>
                <c:pt idx="0">
                  <c:v>Target Av. Farm Cover kg DM/ha</c:v>
                </c:pt>
              </c:strCache>
            </c:strRef>
          </c:tx>
          <c:spPr>
            <a:solidFill>
              <a:srgbClr val="000080"/>
            </a:solidFill>
            <a:ln w="25200">
              <a:solidFill>
                <a:srgbClr val="000080"/>
              </a:solidFill>
              <a:round/>
            </a:ln>
          </c:spPr>
          <c:marker>
            <c:symbol val="diamond"/>
            <c:size val="5"/>
            <c:spPr>
              <a:solidFill>
                <a:srgbClr val="000080"/>
              </a:solidFill>
            </c:spPr>
          </c:marker>
          <c:dLbls>
            <c:dLbl>
              <c:idx val="4"/>
              <c:dLblPos val="b"/>
              <c:showLegendKey val="0"/>
              <c:showVal val="1"/>
              <c:showCatName val="0"/>
              <c:showSerName val="0"/>
              <c:showPercent val="0"/>
            </c:dLbl>
            <c:dLblPos val="b"/>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Graph!$E$4:$E$15</c:f>
              <c:numCache>
                <c:formatCode>General</c:formatCode>
                <c:ptCount val="12"/>
                <c:pt idx="0">
                  <c:v>2000</c:v>
                </c:pt>
                <c:pt idx="1">
                  <c:v>2200</c:v>
                </c:pt>
                <c:pt idx="2">
                  <c:v>2300</c:v>
                </c:pt>
                <c:pt idx="3">
                  <c:v>2500</c:v>
                </c:pt>
                <c:pt idx="4">
                  <c:v>2000</c:v>
                </c:pt>
                <c:pt idx="5">
                  <c:v>1800</c:v>
                </c:pt>
                <c:pt idx="6">
                  <c:v>2200</c:v>
                </c:pt>
                <c:pt idx="7">
                  <c:v>2500</c:v>
                </c:pt>
                <c:pt idx="8">
                  <c:v>2400</c:v>
                </c:pt>
                <c:pt idx="9">
                  <c:v>2000</c:v>
                </c:pt>
                <c:pt idx="10">
                  <c:v>2000</c:v>
                </c:pt>
                <c:pt idx="11">
                  <c:v>1800</c:v>
                </c:pt>
              </c:numCache>
            </c:numRef>
          </c:val>
          <c:smooth val="1"/>
        </c:ser>
        <c:ser>
          <c:idx val="1"/>
          <c:order val="1"/>
          <c:tx>
            <c:strRef>
              <c:f>Graph!$F$3</c:f>
              <c:strCache>
                <c:ptCount val="1"/>
                <c:pt idx="0">
                  <c:v>Forecast end of period Av Farm Cover kg DM/ha</c:v>
                </c:pt>
              </c:strCache>
            </c:strRef>
          </c:tx>
          <c:spPr>
            <a:solidFill>
              <a:srgbClr val="ff420e"/>
            </a:solidFill>
            <a:ln w="28800">
              <a:solidFill>
                <a:srgbClr val="ff420e"/>
              </a:solidFill>
              <a:round/>
            </a:ln>
          </c:spPr>
          <c:marker>
            <c:symbol val="square"/>
            <c:size val="8"/>
            <c:spPr>
              <a:solidFill>
                <a:srgbClr val="ff420e"/>
              </a:solidFill>
            </c:spPr>
          </c:marker>
          <c:dLbls>
            <c:dLblPos val="t"/>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Graph!$F$4:$F$15</c:f>
              <c:numCache>
                <c:formatCode>General</c:formatCode>
                <c:ptCount val="12"/>
                <c:pt idx="0">
                  <c:v>2390</c:v>
                </c:pt>
                <c:pt idx="1">
                  <c:v>2680.42105263158</c:v>
                </c:pt>
                <c:pt idx="2">
                  <c:v>2563.75438596491</c:v>
                </c:pt>
                <c:pt idx="3">
                  <c:v>2237.22105263158</c:v>
                </c:pt>
                <c:pt idx="4">
                  <c:v>2053.15855263158</c:v>
                </c:pt>
                <c:pt idx="5">
                  <c:v>2304.13894478845</c:v>
                </c:pt>
                <c:pt idx="6">
                  <c:v>2522.96247420022</c:v>
                </c:pt>
                <c:pt idx="7">
                  <c:v>2968.55070949433</c:v>
                </c:pt>
                <c:pt idx="8">
                  <c:v>3129.08642378004</c:v>
                </c:pt>
                <c:pt idx="9">
                  <c:v>2855.55701201534</c:v>
                </c:pt>
                <c:pt idx="10">
                  <c:v>2196.73348260358</c:v>
                </c:pt>
                <c:pt idx="11">
                  <c:v>1972.84459371469</c:v>
                </c:pt>
              </c:numCache>
            </c:numRef>
          </c:val>
          <c:smooth val="1"/>
        </c:ser>
        <c:hiLowLines>
          <c:spPr>
            <a:ln>
              <a:noFill/>
            </a:ln>
          </c:spPr>
        </c:hiLowLines>
        <c:marker val="1"/>
        <c:axId val="18766613"/>
        <c:axId val="60810905"/>
      </c:lineChart>
      <c:catAx>
        <c:axId val="18766613"/>
        <c:scaling>
          <c:orientation val="minMax"/>
        </c:scaling>
        <c:delete val="0"/>
        <c:axPos val="b"/>
        <c:majorGridlines>
          <c:spPr>
            <a:ln>
              <a:solidFill>
                <a:srgbClr val="3c3c3c"/>
              </a:solidFill>
            </a:ln>
          </c:spPr>
        </c:majorGridlines>
        <c:title>
          <c:tx>
            <c:rich>
              <a:bodyPr rot="0"/>
              <a:lstStyle/>
              <a:p>
                <a:pPr>
                  <a:defRPr b="0" sz="900" spc="-1" strike="noStrike">
                    <a:solidFill>
                      <a:srgbClr val="000000"/>
                    </a:solidFill>
                    <a:uFill>
                      <a:solidFill>
                        <a:srgbClr val="ffffff"/>
                      </a:solidFill>
                    </a:uFill>
                    <a:latin typeface="Arial"/>
                  </a:defRPr>
                </a:pPr>
                <a:r>
                  <a:rPr b="0" sz="900" spc="-1" strike="noStrike">
                    <a:solidFill>
                      <a:srgbClr val="000000"/>
                    </a:solidFill>
                    <a:uFill>
                      <a:solidFill>
                        <a:srgbClr val="ffffff"/>
                      </a:solidFill>
                    </a:uFill>
                    <a:latin typeface="Arial"/>
                  </a:rPr>
                  <a:t>DATE (end of period) </a:t>
                </a:r>
              </a:p>
            </c:rich>
          </c:tx>
          <c:layout>
            <c:manualLayout>
              <c:xMode val="edge"/>
              <c:yMode val="edge"/>
              <c:x val="0.411197481058743"/>
              <c:y val="0.939382269121158"/>
            </c:manualLayout>
          </c:layout>
          <c:overlay val="0"/>
        </c:title>
        <c:numFmt formatCode="D\ MMM\ YY"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60810905"/>
        <c:crossesAt val="6"/>
        <c:auto val="1"/>
        <c:lblAlgn val="ctr"/>
        <c:lblOffset val="100"/>
      </c:catAx>
      <c:valAx>
        <c:axId val="60810905"/>
        <c:scaling>
          <c:orientation val="minMax"/>
        </c:scaling>
        <c:delete val="0"/>
        <c:axPos val="l"/>
        <c:majorGridlines>
          <c:spPr>
            <a:ln>
              <a:solidFill>
                <a:srgbClr val="3c3c3c"/>
              </a:solidFill>
            </a:ln>
          </c:spPr>
        </c:majorGridlines>
        <c:minorGridlines>
          <c:spPr>
            <a:ln>
              <a:solidFill>
                <a:srgbClr val="3c3c3c"/>
              </a:solidFill>
            </a:ln>
          </c:spPr>
        </c:minorGridlines>
        <c:title>
          <c:tx>
            <c:rich>
              <a:bodyPr rot="-5400000"/>
              <a:lstStyle/>
              <a:p>
                <a:pPr>
                  <a:defRPr b="0" sz="1200" spc="-1" strike="noStrike">
                    <a:solidFill>
                      <a:srgbClr val="3c3c3c"/>
                    </a:solidFill>
                    <a:uFill>
                      <a:solidFill>
                        <a:srgbClr val="ffffff"/>
                      </a:solidFill>
                    </a:uFill>
                    <a:latin typeface="Arial"/>
                  </a:defRPr>
                </a:pPr>
                <a:r>
                  <a:rPr b="0" sz="1200" spc="-1" strike="noStrike">
                    <a:solidFill>
                      <a:srgbClr val="3c3c3c"/>
                    </a:solidFill>
                    <a:uFill>
                      <a:solidFill>
                        <a:srgbClr val="ffffff"/>
                      </a:solidFill>
                    </a:uFill>
                    <a:latin typeface="Arial"/>
                  </a:rPr>
                  <a:t>Average Farm Cover kgDM/Ha</a:t>
                </a:r>
              </a:p>
            </c:rich>
          </c:tx>
          <c:layout>
            <c:manualLayout>
              <c:xMode val="edge"/>
              <c:yMode val="edge"/>
              <c:x val="0.0414739742202106"/>
              <c:y val="0.686975275360086"/>
            </c:manualLayout>
          </c:layout>
          <c:overlay val="0"/>
        </c:title>
        <c:numFmt formatCode="0"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18766613"/>
        <c:crossesAt val="1"/>
        <c:crossBetween val="midCat"/>
      </c:valAx>
      <c:spPr>
        <a:noFill/>
        <a:ln w="37800">
          <a:solidFill>
            <a:srgbClr val="ffffff"/>
          </a:solidFill>
          <a:round/>
        </a:ln>
      </c:spPr>
    </c:plotArea>
    <c:legend>
      <c:layout>
        <c:manualLayout>
          <c:xMode val="edge"/>
          <c:yMode val="edge"/>
          <c:x val="0.571042015153006"/>
          <c:y val="0.044288685203728"/>
        </c:manualLayout>
      </c:layout>
      <c:spPr>
        <a:solidFill>
          <a:srgbClr val="ffffff"/>
        </a:solidFill>
        <a:ln>
          <a:solidFill>
            <a:srgbClr val="3c3c3c"/>
          </a:solidFill>
        </a:ln>
      </c:spPr>
    </c:legend>
    <c:plotVisOnly val="1"/>
    <c:dispBlanksAs val="gap"/>
  </c:chart>
  <c:spPr>
    <a:solidFill>
      <a:srgbClr val="ffffff"/>
    </a:solidFill>
    <a:ln>
      <a:solidFill>
        <a:srgbClr val="3c3c3c"/>
      </a:solidFill>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solidFill>
                  <a:srgbClr val="000000"/>
                </a:solidFill>
                <a:uFill>
                  <a:solidFill>
                    <a:srgbClr val="ffffff"/>
                  </a:solidFill>
                </a:uFill>
                <a:latin typeface="Arial"/>
              </a:defRPr>
            </a:pPr>
            <a:r>
              <a:rPr b="0" sz="1300" spc="-1" strike="noStrike">
                <a:solidFill>
                  <a:srgbClr val="000000"/>
                </a:solidFill>
                <a:uFill>
                  <a:solidFill>
                    <a:srgbClr val="ffffff"/>
                  </a:solidFill>
                </a:uFill>
                <a:latin typeface="Arial"/>
              </a:rPr>
              <a:t>Average Farm Cover - Target vs Forecasted</a:t>
            </a:r>
          </a:p>
        </c:rich>
      </c:tx>
      <c:layout>
        <c:manualLayout>
          <c:xMode val="edge"/>
          <c:yMode val="edge"/>
          <c:x val="0.104416683061184"/>
          <c:y val="0.0289542584321577"/>
        </c:manualLayout>
      </c:layout>
      <c:overlay val="0"/>
    </c:title>
    <c:autoTitleDeleted val="0"/>
    <c:plotArea>
      <c:layout>
        <c:manualLayout>
          <c:layoutTarget val="inner"/>
          <c:xMode val="edge"/>
          <c:yMode val="edge"/>
          <c:x val="0.138599252409994"/>
          <c:y val="0.107192361004158"/>
          <c:w val="0.756836513869762"/>
          <c:h val="0.712613583859541"/>
        </c:manualLayout>
      </c:layout>
      <c:lineChart>
        <c:grouping val="standard"/>
        <c:varyColors val="0"/>
        <c:ser>
          <c:idx val="0"/>
          <c:order val="0"/>
          <c:tx>
            <c:strRef>
              <c:f>Graph!$E$3</c:f>
              <c:strCache>
                <c:ptCount val="1"/>
                <c:pt idx="0">
                  <c:v>Target Av. Farm Cover kg DM/ha</c:v>
                </c:pt>
              </c:strCache>
            </c:strRef>
          </c:tx>
          <c:spPr>
            <a:solidFill>
              <a:srgbClr val="000080"/>
            </a:solidFill>
            <a:ln w="25200">
              <a:solidFill>
                <a:srgbClr val="000080"/>
              </a:solidFill>
              <a:round/>
            </a:ln>
          </c:spPr>
          <c:marker>
            <c:symbol val="diamond"/>
            <c:size val="5"/>
            <c:spPr>
              <a:solidFill>
                <a:srgbClr val="000080"/>
              </a:solidFill>
            </c:spPr>
          </c:marker>
          <c:dLbls>
            <c:dLbl>
              <c:idx val="4"/>
              <c:dLblPos val="b"/>
              <c:showLegendKey val="0"/>
              <c:showVal val="1"/>
              <c:showCatName val="0"/>
              <c:showSerName val="0"/>
              <c:showPercent val="0"/>
            </c:dLbl>
            <c:dLblPos val="b"/>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Graph!$E$4:$E$15</c:f>
              <c:numCache>
                <c:formatCode>General</c:formatCode>
                <c:ptCount val="12"/>
                <c:pt idx="0">
                  <c:v>2000</c:v>
                </c:pt>
                <c:pt idx="1">
                  <c:v>2200</c:v>
                </c:pt>
                <c:pt idx="2">
                  <c:v>2300</c:v>
                </c:pt>
                <c:pt idx="3">
                  <c:v>2500</c:v>
                </c:pt>
                <c:pt idx="4">
                  <c:v>2000</c:v>
                </c:pt>
                <c:pt idx="5">
                  <c:v>1800</c:v>
                </c:pt>
                <c:pt idx="6">
                  <c:v>2200</c:v>
                </c:pt>
                <c:pt idx="7">
                  <c:v>2500</c:v>
                </c:pt>
                <c:pt idx="8">
                  <c:v>2400</c:v>
                </c:pt>
                <c:pt idx="9">
                  <c:v>2000</c:v>
                </c:pt>
                <c:pt idx="10">
                  <c:v>2000</c:v>
                </c:pt>
                <c:pt idx="11">
                  <c:v>1800</c:v>
                </c:pt>
              </c:numCache>
            </c:numRef>
          </c:val>
          <c:smooth val="1"/>
        </c:ser>
        <c:ser>
          <c:idx val="1"/>
          <c:order val="1"/>
          <c:tx>
            <c:strRef>
              <c:f>Graph!$F$3</c:f>
              <c:strCache>
                <c:ptCount val="1"/>
                <c:pt idx="0">
                  <c:v>Forecast end of period Av Farm Cover kg DM/ha</c:v>
                </c:pt>
              </c:strCache>
            </c:strRef>
          </c:tx>
          <c:spPr>
            <a:solidFill>
              <a:srgbClr val="ff420e"/>
            </a:solidFill>
            <a:ln w="28800">
              <a:solidFill>
                <a:srgbClr val="ff420e"/>
              </a:solidFill>
              <a:round/>
            </a:ln>
          </c:spPr>
          <c:marker>
            <c:symbol val="square"/>
            <c:size val="8"/>
            <c:spPr>
              <a:solidFill>
                <a:srgbClr val="ff420e"/>
              </a:solidFill>
            </c:spPr>
          </c:marker>
          <c:dLbls>
            <c:dLblPos val="t"/>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Graph!$F$4:$F$15</c:f>
              <c:numCache>
                <c:formatCode>General</c:formatCode>
                <c:ptCount val="12"/>
                <c:pt idx="0">
                  <c:v>2390</c:v>
                </c:pt>
                <c:pt idx="1">
                  <c:v>2680.42105263158</c:v>
                </c:pt>
                <c:pt idx="2">
                  <c:v>2563.75438596491</c:v>
                </c:pt>
                <c:pt idx="3">
                  <c:v>2237.22105263158</c:v>
                </c:pt>
                <c:pt idx="4">
                  <c:v>2053.15855263158</c:v>
                </c:pt>
                <c:pt idx="5">
                  <c:v>2304.13894478845</c:v>
                </c:pt>
                <c:pt idx="6">
                  <c:v>2522.96247420022</c:v>
                </c:pt>
                <c:pt idx="7">
                  <c:v>2968.55070949433</c:v>
                </c:pt>
                <c:pt idx="8">
                  <c:v>3129.08642378004</c:v>
                </c:pt>
                <c:pt idx="9">
                  <c:v>2855.55701201534</c:v>
                </c:pt>
                <c:pt idx="10">
                  <c:v>2196.73348260358</c:v>
                </c:pt>
                <c:pt idx="11">
                  <c:v>1972.84459371469</c:v>
                </c:pt>
              </c:numCache>
            </c:numRef>
          </c:val>
          <c:smooth val="1"/>
        </c:ser>
        <c:hiLowLines>
          <c:spPr>
            <a:ln>
              <a:noFill/>
            </a:ln>
          </c:spPr>
        </c:hiLowLines>
        <c:marker val="1"/>
        <c:axId val="72080412"/>
        <c:axId val="97947631"/>
      </c:lineChart>
      <c:catAx>
        <c:axId val="72080412"/>
        <c:scaling>
          <c:orientation val="minMax"/>
        </c:scaling>
        <c:delete val="0"/>
        <c:axPos val="b"/>
        <c:majorGridlines>
          <c:spPr>
            <a:ln>
              <a:solidFill>
                <a:srgbClr val="3c3c3c"/>
              </a:solidFill>
            </a:ln>
          </c:spPr>
        </c:majorGridlines>
        <c:title>
          <c:tx>
            <c:rich>
              <a:bodyPr rot="0"/>
              <a:lstStyle/>
              <a:p>
                <a:pPr>
                  <a:defRPr b="0" sz="900" spc="-1" strike="noStrike">
                    <a:solidFill>
                      <a:srgbClr val="000000"/>
                    </a:solidFill>
                    <a:uFill>
                      <a:solidFill>
                        <a:srgbClr val="ffffff"/>
                      </a:solidFill>
                    </a:uFill>
                    <a:latin typeface="Arial"/>
                  </a:defRPr>
                </a:pPr>
                <a:r>
                  <a:rPr b="0" sz="900" spc="-1" strike="noStrike">
                    <a:solidFill>
                      <a:srgbClr val="000000"/>
                    </a:solidFill>
                    <a:uFill>
                      <a:solidFill>
                        <a:srgbClr val="ffffff"/>
                      </a:solidFill>
                    </a:uFill>
                    <a:latin typeface="Arial"/>
                  </a:rPr>
                  <a:t>DATE (end of period) </a:t>
                </a:r>
              </a:p>
            </c:rich>
          </c:tx>
          <c:layout>
            <c:manualLayout>
              <c:xMode val="edge"/>
              <c:yMode val="edge"/>
              <c:x val="0.411420421011214"/>
              <c:y val="0.939550284922224"/>
            </c:manualLayout>
          </c:layout>
          <c:overlay val="0"/>
        </c:title>
        <c:numFmt formatCode="D\ MMM\ YY"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97947631"/>
        <c:crossesAt val="6"/>
        <c:auto val="1"/>
        <c:lblAlgn val="ctr"/>
        <c:lblOffset val="100"/>
      </c:catAx>
      <c:valAx>
        <c:axId val="97947631"/>
        <c:scaling>
          <c:orientation val="minMax"/>
        </c:scaling>
        <c:delete val="0"/>
        <c:axPos val="l"/>
        <c:majorGridlines>
          <c:spPr>
            <a:ln>
              <a:solidFill>
                <a:srgbClr val="3c3c3c"/>
              </a:solidFill>
            </a:ln>
          </c:spPr>
        </c:majorGridlines>
        <c:minorGridlines>
          <c:spPr>
            <a:ln>
              <a:solidFill>
                <a:srgbClr val="3c3c3c"/>
              </a:solidFill>
            </a:ln>
          </c:spPr>
        </c:minorGridlines>
        <c:title>
          <c:tx>
            <c:rich>
              <a:bodyPr rot="-5400000"/>
              <a:lstStyle/>
              <a:p>
                <a:pPr>
                  <a:defRPr b="0" sz="1200" spc="-1" strike="noStrike">
                    <a:solidFill>
                      <a:srgbClr val="3c3c3c"/>
                    </a:solidFill>
                    <a:uFill>
                      <a:solidFill>
                        <a:srgbClr val="ffffff"/>
                      </a:solidFill>
                    </a:uFill>
                    <a:latin typeface="Arial"/>
                  </a:defRPr>
                </a:pPr>
                <a:r>
                  <a:rPr b="0" sz="1200" spc="-1" strike="noStrike">
                    <a:solidFill>
                      <a:srgbClr val="3c3c3c"/>
                    </a:solidFill>
                    <a:uFill>
                      <a:solidFill>
                        <a:srgbClr val="ffffff"/>
                      </a:solidFill>
                    </a:uFill>
                    <a:latin typeface="Arial"/>
                  </a:rPr>
                  <a:t>Average Farm Cover kgDM/Ha</a:t>
                </a:r>
              </a:p>
            </c:rich>
          </c:tx>
          <c:layout>
            <c:manualLayout>
              <c:xMode val="edge"/>
              <c:yMode val="edge"/>
              <c:x val="0.0415109187487704"/>
              <c:y val="0.686816571692592"/>
            </c:manualLayout>
          </c:layout>
          <c:overlay val="0"/>
        </c:title>
        <c:numFmt formatCode="0"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72080412"/>
        <c:crossesAt val="1"/>
        <c:crossBetween val="midCat"/>
      </c:valAx>
      <c:spPr>
        <a:noFill/>
        <a:ln w="37800">
          <a:solidFill>
            <a:srgbClr val="ffffff"/>
          </a:solidFill>
          <a:round/>
        </a:ln>
      </c:spPr>
    </c:plotArea>
    <c:legend>
      <c:layout>
        <c:manualLayout>
          <c:xMode val="edge"/>
          <c:yMode val="edge"/>
          <c:x val="0.571070234113712"/>
          <c:y val="0.0443554597258586"/>
        </c:manualLayout>
      </c:layout>
      <c:spPr>
        <a:solidFill>
          <a:srgbClr val="ffffff"/>
        </a:solidFill>
        <a:ln>
          <a:solidFill>
            <a:srgbClr val="3c3c3c"/>
          </a:solidFill>
        </a:ln>
      </c:spPr>
    </c:legend>
    <c:plotVisOnly val="1"/>
    <c:dispBlanksAs val="gap"/>
  </c:chart>
  <c:spPr>
    <a:solidFill>
      <a:srgbClr val="ffffff"/>
    </a:solidFill>
    <a:ln>
      <a:solidFill>
        <a:srgbClr val="3c3c3c"/>
      </a:solidFill>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solidFill>
                  <a:srgbClr val="000000"/>
                </a:solidFill>
                <a:uFill>
                  <a:solidFill>
                    <a:srgbClr val="ffffff"/>
                  </a:solidFill>
                </a:uFill>
                <a:latin typeface="Arial"/>
              </a:defRPr>
            </a:pPr>
            <a:r>
              <a:rPr b="0" sz="1300" spc="-1" strike="noStrike">
                <a:solidFill>
                  <a:srgbClr val="000000"/>
                </a:solidFill>
                <a:uFill>
                  <a:solidFill>
                    <a:srgbClr val="ffffff"/>
                  </a:solidFill>
                </a:uFill>
                <a:latin typeface="Arial"/>
              </a:rPr>
              <a:t>Average Farm Cover - Target vs Forecasted</a:t>
            </a:r>
          </a:p>
        </c:rich>
      </c:tx>
      <c:layout>
        <c:manualLayout>
          <c:xMode val="edge"/>
          <c:yMode val="edge"/>
          <c:x val="0.104209698042687"/>
          <c:y val="0.0290446841294299"/>
        </c:manualLayout>
      </c:layout>
      <c:overlay val="0"/>
    </c:title>
    <c:autoTitleDeleted val="0"/>
    <c:plotArea>
      <c:layout>
        <c:manualLayout>
          <c:layoutTarget val="inner"/>
          <c:xMode val="edge"/>
          <c:yMode val="edge"/>
          <c:x val="0.138585620143602"/>
          <c:y val="0.107241910631741"/>
          <c:w val="0.756811252090095"/>
          <c:h val="0.712634822804314"/>
        </c:manualLayout>
      </c:layout>
      <c:lineChart>
        <c:grouping val="standard"/>
        <c:varyColors val="0"/>
        <c:ser>
          <c:idx val="0"/>
          <c:order val="0"/>
          <c:tx>
            <c:strRef>
              <c:f>Graph!$E$3</c:f>
              <c:strCache>
                <c:ptCount val="1"/>
                <c:pt idx="0">
                  <c:v>Target Av. Farm Cover kg DM/ha</c:v>
                </c:pt>
              </c:strCache>
            </c:strRef>
          </c:tx>
          <c:spPr>
            <a:solidFill>
              <a:srgbClr val="000080"/>
            </a:solidFill>
            <a:ln w="25200">
              <a:solidFill>
                <a:srgbClr val="000080"/>
              </a:solidFill>
              <a:round/>
            </a:ln>
          </c:spPr>
          <c:marker>
            <c:symbol val="diamond"/>
            <c:size val="5"/>
            <c:spPr>
              <a:solidFill>
                <a:srgbClr val="000080"/>
              </a:solidFill>
            </c:spPr>
          </c:marker>
          <c:dLbls>
            <c:dLbl>
              <c:idx val="4"/>
              <c:dLblPos val="b"/>
              <c:showLegendKey val="0"/>
              <c:showVal val="1"/>
              <c:showCatName val="0"/>
              <c:showSerName val="0"/>
              <c:showPercent val="0"/>
            </c:dLbl>
            <c:dLblPos val="b"/>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Graph!$E$4:$E$15</c:f>
              <c:numCache>
                <c:formatCode>General</c:formatCode>
                <c:ptCount val="12"/>
                <c:pt idx="0">
                  <c:v>2000</c:v>
                </c:pt>
                <c:pt idx="1">
                  <c:v>2200</c:v>
                </c:pt>
                <c:pt idx="2">
                  <c:v>2300</c:v>
                </c:pt>
                <c:pt idx="3">
                  <c:v>2500</c:v>
                </c:pt>
                <c:pt idx="4">
                  <c:v>2000</c:v>
                </c:pt>
                <c:pt idx="5">
                  <c:v>1800</c:v>
                </c:pt>
                <c:pt idx="6">
                  <c:v>2200</c:v>
                </c:pt>
                <c:pt idx="7">
                  <c:v>2500</c:v>
                </c:pt>
                <c:pt idx="8">
                  <c:v>2400</c:v>
                </c:pt>
                <c:pt idx="9">
                  <c:v>2000</c:v>
                </c:pt>
                <c:pt idx="10">
                  <c:v>2000</c:v>
                </c:pt>
                <c:pt idx="11">
                  <c:v>1800</c:v>
                </c:pt>
              </c:numCache>
            </c:numRef>
          </c:val>
          <c:smooth val="1"/>
        </c:ser>
        <c:ser>
          <c:idx val="1"/>
          <c:order val="1"/>
          <c:tx>
            <c:strRef>
              <c:f>Graph!$F$3</c:f>
              <c:strCache>
                <c:ptCount val="1"/>
                <c:pt idx="0">
                  <c:v>Forecast end of period Av Farm Cover kg DM/ha</c:v>
                </c:pt>
              </c:strCache>
            </c:strRef>
          </c:tx>
          <c:spPr>
            <a:solidFill>
              <a:srgbClr val="ff420e"/>
            </a:solidFill>
            <a:ln w="28800">
              <a:solidFill>
                <a:srgbClr val="ff420e"/>
              </a:solidFill>
              <a:round/>
            </a:ln>
          </c:spPr>
          <c:marker>
            <c:symbol val="square"/>
            <c:size val="8"/>
            <c:spPr>
              <a:solidFill>
                <a:srgbClr val="ff420e"/>
              </a:solidFill>
            </c:spPr>
          </c:marker>
          <c:dLbls>
            <c:dLblPos val="t"/>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Graph!$F$4:$F$15</c:f>
              <c:numCache>
                <c:formatCode>General</c:formatCode>
                <c:ptCount val="12"/>
                <c:pt idx="0">
                  <c:v>2390</c:v>
                </c:pt>
                <c:pt idx="1">
                  <c:v>2680.42105263158</c:v>
                </c:pt>
                <c:pt idx="2">
                  <c:v>2563.75438596491</c:v>
                </c:pt>
                <c:pt idx="3">
                  <c:v>2237.22105263158</c:v>
                </c:pt>
                <c:pt idx="4">
                  <c:v>2053.15855263158</c:v>
                </c:pt>
                <c:pt idx="5">
                  <c:v>2304.13894478845</c:v>
                </c:pt>
                <c:pt idx="6">
                  <c:v>2522.96247420022</c:v>
                </c:pt>
                <c:pt idx="7">
                  <c:v>2968.55070949433</c:v>
                </c:pt>
                <c:pt idx="8">
                  <c:v>3129.08642378004</c:v>
                </c:pt>
                <c:pt idx="9">
                  <c:v>2855.55701201534</c:v>
                </c:pt>
                <c:pt idx="10">
                  <c:v>2196.73348260358</c:v>
                </c:pt>
                <c:pt idx="11">
                  <c:v>1972.84459371469</c:v>
                </c:pt>
              </c:numCache>
            </c:numRef>
          </c:val>
          <c:smooth val="1"/>
        </c:ser>
        <c:hiLowLines>
          <c:spPr>
            <a:ln>
              <a:noFill/>
            </a:ln>
          </c:spPr>
        </c:hiLowLines>
        <c:marker val="1"/>
        <c:axId val="77053786"/>
        <c:axId val="9437815"/>
      </c:lineChart>
      <c:catAx>
        <c:axId val="77053786"/>
        <c:scaling>
          <c:orientation val="minMax"/>
        </c:scaling>
        <c:delete val="0"/>
        <c:axPos val="b"/>
        <c:majorGridlines>
          <c:spPr>
            <a:ln>
              <a:solidFill>
                <a:srgbClr val="3c3c3c"/>
              </a:solidFill>
            </a:ln>
          </c:spPr>
        </c:majorGridlines>
        <c:title>
          <c:tx>
            <c:rich>
              <a:bodyPr rot="0"/>
              <a:lstStyle/>
              <a:p>
                <a:pPr>
                  <a:defRPr b="0" sz="900" spc="-1" strike="noStrike">
                    <a:solidFill>
                      <a:srgbClr val="000000"/>
                    </a:solidFill>
                    <a:uFill>
                      <a:solidFill>
                        <a:srgbClr val="ffffff"/>
                      </a:solidFill>
                    </a:uFill>
                    <a:latin typeface="Arial"/>
                  </a:defRPr>
                </a:pPr>
                <a:r>
                  <a:rPr b="0" sz="900" spc="-1" strike="noStrike">
                    <a:solidFill>
                      <a:srgbClr val="000000"/>
                    </a:solidFill>
                    <a:uFill>
                      <a:solidFill>
                        <a:srgbClr val="ffffff"/>
                      </a:solidFill>
                    </a:uFill>
                    <a:latin typeface="Arial"/>
                  </a:rPr>
                  <a:t>DATE (end of period) </a:t>
                </a:r>
              </a:p>
            </c:rich>
          </c:tx>
          <c:layout>
            <c:manualLayout>
              <c:xMode val="edge"/>
              <c:yMode val="edge"/>
              <c:x val="0.411429133471034"/>
              <c:y val="0.939522342064715"/>
            </c:manualLayout>
          </c:layout>
          <c:overlay val="0"/>
        </c:title>
        <c:numFmt formatCode="D\ MMM\ YY"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9437815"/>
        <c:crossesAt val="6"/>
        <c:auto val="1"/>
        <c:lblAlgn val="ctr"/>
        <c:lblOffset val="100"/>
      </c:catAx>
      <c:valAx>
        <c:axId val="9437815"/>
        <c:scaling>
          <c:orientation val="minMax"/>
        </c:scaling>
        <c:delete val="0"/>
        <c:axPos val="l"/>
        <c:majorGridlines>
          <c:spPr>
            <a:ln>
              <a:solidFill>
                <a:srgbClr val="3c3c3c"/>
              </a:solidFill>
            </a:ln>
          </c:spPr>
        </c:majorGridlines>
        <c:minorGridlines>
          <c:spPr>
            <a:ln>
              <a:solidFill>
                <a:srgbClr val="3c3c3c"/>
              </a:solidFill>
            </a:ln>
          </c:spPr>
        </c:minorGridlines>
        <c:title>
          <c:tx>
            <c:rich>
              <a:bodyPr rot="-5400000"/>
              <a:lstStyle/>
              <a:p>
                <a:pPr>
                  <a:defRPr b="0" sz="1200" spc="-1" strike="noStrike">
                    <a:solidFill>
                      <a:srgbClr val="3c3c3c"/>
                    </a:solidFill>
                    <a:uFill>
                      <a:solidFill>
                        <a:srgbClr val="ffffff"/>
                      </a:solidFill>
                    </a:uFill>
                    <a:latin typeface="Arial"/>
                  </a:defRPr>
                </a:pPr>
                <a:r>
                  <a:rPr b="0" sz="1200" spc="-1" strike="noStrike">
                    <a:solidFill>
                      <a:srgbClr val="3c3c3c"/>
                    </a:solidFill>
                    <a:uFill>
                      <a:solidFill>
                        <a:srgbClr val="ffffff"/>
                      </a:solidFill>
                    </a:uFill>
                    <a:latin typeface="Arial"/>
                  </a:rPr>
                  <a:t>Average Farm Cover kgDM/Ha</a:t>
                </a:r>
              </a:p>
            </c:rich>
          </c:tx>
          <c:layout>
            <c:manualLayout>
              <c:xMode val="edge"/>
              <c:yMode val="edge"/>
              <c:x val="0.0415068358414478"/>
              <c:y val="0.68713405238829"/>
            </c:manualLayout>
          </c:layout>
          <c:overlay val="0"/>
        </c:title>
        <c:numFmt formatCode="0"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77053786"/>
        <c:crossesAt val="1"/>
        <c:crossBetween val="midCat"/>
      </c:valAx>
      <c:spPr>
        <a:noFill/>
        <a:ln w="37800">
          <a:solidFill>
            <a:srgbClr val="ffffff"/>
          </a:solidFill>
          <a:round/>
        </a:ln>
      </c:spPr>
    </c:plotArea>
    <c:legend>
      <c:layout>
        <c:manualLayout>
          <c:xMode val="edge"/>
          <c:yMode val="edge"/>
          <c:x val="0.570964886397167"/>
          <c:y val="0.0443759630200308"/>
        </c:manualLayout>
      </c:layout>
      <c:spPr>
        <a:solidFill>
          <a:srgbClr val="ffffff"/>
        </a:solidFill>
        <a:ln>
          <a:solidFill>
            <a:srgbClr val="3c3c3c"/>
          </a:solidFill>
        </a:ln>
      </c:spPr>
    </c:legend>
    <c:plotVisOnly val="1"/>
    <c:dispBlanksAs val="gap"/>
  </c:chart>
  <c:spPr>
    <a:solidFill>
      <a:srgbClr val="ffffff"/>
    </a:solidFill>
    <a:ln>
      <a:solidFill>
        <a:srgbClr val="3c3c3c"/>
      </a:solidFill>
    </a:ln>
  </c:spPr>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solidFill>
                  <a:srgbClr val="000000"/>
                </a:solidFill>
                <a:uFill>
                  <a:solidFill>
                    <a:srgbClr val="ffffff"/>
                  </a:solidFill>
                </a:uFill>
                <a:latin typeface="Arial"/>
              </a:defRPr>
            </a:pPr>
            <a:r>
              <a:rPr b="0" sz="1300" spc="-1" strike="noStrike">
                <a:solidFill>
                  <a:srgbClr val="000000"/>
                </a:solidFill>
                <a:uFill>
                  <a:solidFill>
                    <a:srgbClr val="ffffff"/>
                  </a:solidFill>
                </a:uFill>
                <a:latin typeface="Arial"/>
              </a:rPr>
              <a:t>Average Farm Cover - Target vs Forecasted</a:t>
            </a:r>
          </a:p>
        </c:rich>
      </c:tx>
      <c:layout>
        <c:manualLayout>
          <c:xMode val="edge"/>
          <c:yMode val="edge"/>
          <c:x val="0.104150275373721"/>
          <c:y val="0.0289039617696932"/>
        </c:manualLayout>
      </c:layout>
      <c:overlay val="0"/>
    </c:title>
    <c:autoTitleDeleted val="0"/>
    <c:plotArea>
      <c:layout>
        <c:manualLayout>
          <c:layoutTarget val="inner"/>
          <c:xMode val="edge"/>
          <c:yMode val="edge"/>
          <c:x val="0.138571990558615"/>
          <c:y val="0.107214428857715"/>
          <c:w val="0.756785995279308"/>
          <c:h val="0.71257900416217"/>
        </c:manualLayout>
      </c:layout>
      <c:lineChart>
        <c:grouping val="standard"/>
        <c:varyColors val="0"/>
        <c:ser>
          <c:idx val="0"/>
          <c:order val="0"/>
          <c:tx>
            <c:strRef>
              <c:f>Graph!$E$3</c:f>
              <c:strCache>
                <c:ptCount val="1"/>
                <c:pt idx="0">
                  <c:v>Target Av. Farm Cover kg DM/ha</c:v>
                </c:pt>
              </c:strCache>
            </c:strRef>
          </c:tx>
          <c:spPr>
            <a:solidFill>
              <a:srgbClr val="000080"/>
            </a:solidFill>
            <a:ln w="25200">
              <a:solidFill>
                <a:srgbClr val="000080"/>
              </a:solidFill>
              <a:round/>
            </a:ln>
          </c:spPr>
          <c:marker>
            <c:symbol val="diamond"/>
            <c:size val="5"/>
            <c:spPr>
              <a:solidFill>
                <a:srgbClr val="000080"/>
              </a:solidFill>
            </c:spPr>
          </c:marker>
          <c:dLbls>
            <c:dLbl>
              <c:idx val="4"/>
              <c:dLblPos val="b"/>
              <c:showLegendKey val="0"/>
              <c:showVal val="1"/>
              <c:showCatName val="0"/>
              <c:showSerName val="0"/>
              <c:showPercent val="0"/>
            </c:dLbl>
            <c:dLblPos val="b"/>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Graph!$E$4:$E$15</c:f>
              <c:numCache>
                <c:formatCode>General</c:formatCode>
                <c:ptCount val="12"/>
                <c:pt idx="0">
                  <c:v>2000</c:v>
                </c:pt>
                <c:pt idx="1">
                  <c:v>2200</c:v>
                </c:pt>
                <c:pt idx="2">
                  <c:v>2300</c:v>
                </c:pt>
                <c:pt idx="3">
                  <c:v>2500</c:v>
                </c:pt>
                <c:pt idx="4">
                  <c:v>2000</c:v>
                </c:pt>
                <c:pt idx="5">
                  <c:v>1800</c:v>
                </c:pt>
                <c:pt idx="6">
                  <c:v>2200</c:v>
                </c:pt>
                <c:pt idx="7">
                  <c:v>2500</c:v>
                </c:pt>
                <c:pt idx="8">
                  <c:v>2400</c:v>
                </c:pt>
                <c:pt idx="9">
                  <c:v>2000</c:v>
                </c:pt>
                <c:pt idx="10">
                  <c:v>2000</c:v>
                </c:pt>
                <c:pt idx="11">
                  <c:v>1800</c:v>
                </c:pt>
              </c:numCache>
            </c:numRef>
          </c:val>
          <c:smooth val="1"/>
        </c:ser>
        <c:ser>
          <c:idx val="1"/>
          <c:order val="1"/>
          <c:tx>
            <c:strRef>
              <c:f>Graph!$F$3</c:f>
              <c:strCache>
                <c:ptCount val="1"/>
                <c:pt idx="0">
                  <c:v>Forecast end of period Av Farm Cover kg DM/ha</c:v>
                </c:pt>
              </c:strCache>
            </c:strRef>
          </c:tx>
          <c:spPr>
            <a:solidFill>
              <a:srgbClr val="ff420e"/>
            </a:solidFill>
            <a:ln w="28800">
              <a:solidFill>
                <a:srgbClr val="ff420e"/>
              </a:solidFill>
              <a:round/>
            </a:ln>
          </c:spPr>
          <c:marker>
            <c:symbol val="square"/>
            <c:size val="8"/>
            <c:spPr>
              <a:solidFill>
                <a:srgbClr val="ff420e"/>
              </a:solidFill>
            </c:spPr>
          </c:marker>
          <c:dLbls>
            <c:dLblPos val="t"/>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Graph!$F$4:$F$15</c:f>
              <c:numCache>
                <c:formatCode>General</c:formatCode>
                <c:ptCount val="12"/>
                <c:pt idx="0">
                  <c:v>2390</c:v>
                </c:pt>
                <c:pt idx="1">
                  <c:v>2680.42105263158</c:v>
                </c:pt>
                <c:pt idx="2">
                  <c:v>2563.75438596491</c:v>
                </c:pt>
                <c:pt idx="3">
                  <c:v>2237.22105263158</c:v>
                </c:pt>
                <c:pt idx="4">
                  <c:v>2053.15855263158</c:v>
                </c:pt>
                <c:pt idx="5">
                  <c:v>2304.13894478845</c:v>
                </c:pt>
                <c:pt idx="6">
                  <c:v>2522.96247420022</c:v>
                </c:pt>
                <c:pt idx="7">
                  <c:v>2968.55070949433</c:v>
                </c:pt>
                <c:pt idx="8">
                  <c:v>3129.08642378004</c:v>
                </c:pt>
                <c:pt idx="9">
                  <c:v>2855.55701201534</c:v>
                </c:pt>
                <c:pt idx="10">
                  <c:v>2196.73348260358</c:v>
                </c:pt>
                <c:pt idx="11">
                  <c:v>1972.84459371469</c:v>
                </c:pt>
              </c:numCache>
            </c:numRef>
          </c:val>
          <c:smooth val="1"/>
        </c:ser>
        <c:hiLowLines>
          <c:spPr>
            <a:ln>
              <a:noFill/>
            </a:ln>
          </c:spPr>
        </c:hiLowLines>
        <c:marker val="1"/>
        <c:axId val="33559775"/>
        <c:axId val="70717753"/>
      </c:lineChart>
      <c:catAx>
        <c:axId val="33559775"/>
        <c:scaling>
          <c:orientation val="minMax"/>
        </c:scaling>
        <c:delete val="0"/>
        <c:axPos val="b"/>
        <c:majorGridlines>
          <c:spPr>
            <a:ln>
              <a:solidFill>
                <a:srgbClr val="3c3c3c"/>
              </a:solidFill>
            </a:ln>
          </c:spPr>
        </c:majorGridlines>
        <c:title>
          <c:tx>
            <c:rich>
              <a:bodyPr rot="0"/>
              <a:lstStyle/>
              <a:p>
                <a:pPr>
                  <a:defRPr b="0" sz="900" spc="-1" strike="noStrike">
                    <a:solidFill>
                      <a:srgbClr val="000000"/>
                    </a:solidFill>
                    <a:uFill>
                      <a:solidFill>
                        <a:srgbClr val="ffffff"/>
                      </a:solidFill>
                    </a:uFill>
                    <a:latin typeface="Arial"/>
                  </a:defRPr>
                </a:pPr>
                <a:r>
                  <a:rPr b="0" sz="900" spc="-1" strike="noStrike">
                    <a:solidFill>
                      <a:srgbClr val="000000"/>
                    </a:solidFill>
                    <a:uFill>
                      <a:solidFill>
                        <a:srgbClr val="ffffff"/>
                      </a:solidFill>
                    </a:uFill>
                    <a:latin typeface="Arial"/>
                  </a:rPr>
                  <a:t>DATE (end of period) </a:t>
                </a:r>
              </a:p>
            </c:rich>
          </c:tx>
          <c:layout>
            <c:manualLayout>
              <c:xMode val="edge"/>
              <c:yMode val="edge"/>
              <c:x val="0.411339496459481"/>
              <c:y val="0.939494373362109"/>
            </c:manualLayout>
          </c:layout>
          <c:overlay val="0"/>
        </c:title>
        <c:numFmt formatCode="D\ MMM\ YY"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70717753"/>
        <c:crossesAt val="6"/>
        <c:auto val="1"/>
        <c:lblAlgn val="ctr"/>
        <c:lblOffset val="100"/>
      </c:catAx>
      <c:valAx>
        <c:axId val="70717753"/>
        <c:scaling>
          <c:orientation val="minMax"/>
        </c:scaling>
        <c:delete val="0"/>
        <c:axPos val="l"/>
        <c:majorGridlines>
          <c:spPr>
            <a:ln>
              <a:solidFill>
                <a:srgbClr val="3c3c3c"/>
              </a:solidFill>
            </a:ln>
          </c:spPr>
        </c:majorGridlines>
        <c:minorGridlines>
          <c:spPr>
            <a:ln>
              <a:solidFill>
                <a:srgbClr val="3c3c3c"/>
              </a:solidFill>
            </a:ln>
          </c:spPr>
        </c:minorGridlines>
        <c:title>
          <c:tx>
            <c:rich>
              <a:bodyPr rot="-5400000"/>
              <a:lstStyle/>
              <a:p>
                <a:pPr>
                  <a:defRPr b="0" sz="1200" spc="-1" strike="noStrike">
                    <a:solidFill>
                      <a:srgbClr val="3c3c3c"/>
                    </a:solidFill>
                    <a:uFill>
                      <a:solidFill>
                        <a:srgbClr val="ffffff"/>
                      </a:solidFill>
                    </a:uFill>
                    <a:latin typeface="Arial"/>
                  </a:defRPr>
                </a:pPr>
                <a:r>
                  <a:rPr b="0" sz="1200" spc="-1" strike="noStrike">
                    <a:solidFill>
                      <a:srgbClr val="3c3c3c"/>
                    </a:solidFill>
                    <a:uFill>
                      <a:solidFill>
                        <a:srgbClr val="ffffff"/>
                      </a:solidFill>
                    </a:uFill>
                    <a:latin typeface="Arial"/>
                  </a:rPr>
                  <a:t>Average Farm Cover kgDM/Ha</a:t>
                </a:r>
              </a:p>
            </c:rich>
          </c:tx>
          <c:layout>
            <c:manualLayout>
              <c:xMode val="edge"/>
              <c:yMode val="edge"/>
              <c:x val="0.0415027537372148"/>
              <c:y val="0.68714351780484"/>
            </c:manualLayout>
          </c:layout>
          <c:overlay val="0"/>
        </c:title>
        <c:numFmt formatCode="0"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33559775"/>
        <c:crossesAt val="1"/>
        <c:crossBetween val="midCat"/>
      </c:valAx>
      <c:spPr>
        <a:noFill/>
        <a:ln w="37800">
          <a:solidFill>
            <a:srgbClr val="ffffff"/>
          </a:solidFill>
          <a:round/>
        </a:ln>
      </c:spPr>
    </c:plotArea>
    <c:legend>
      <c:layout>
        <c:manualLayout>
          <c:xMode val="edge"/>
          <c:yMode val="edge"/>
          <c:x val="0.570957907159717"/>
          <c:y val="0.044319408046863"/>
        </c:manualLayout>
      </c:layout>
      <c:spPr>
        <a:solidFill>
          <a:srgbClr val="ffffff"/>
        </a:solidFill>
        <a:ln>
          <a:solidFill>
            <a:srgbClr val="3c3c3c"/>
          </a:solidFill>
        </a:ln>
      </c:spPr>
    </c:legend>
    <c:plotVisOnly val="1"/>
    <c:dispBlanksAs val="gap"/>
  </c:chart>
  <c:spPr>
    <a:solidFill>
      <a:srgbClr val="ffffff"/>
    </a:solidFill>
    <a:ln>
      <a:solidFill>
        <a:srgbClr val="3c3c3c"/>
      </a:solidFill>
    </a:ln>
  </c:spPr>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solidFill>
                  <a:srgbClr val="000000"/>
                </a:solidFill>
                <a:uFill>
                  <a:solidFill>
                    <a:srgbClr val="ffffff"/>
                  </a:solidFill>
                </a:uFill>
                <a:latin typeface="Arial"/>
              </a:defRPr>
            </a:pPr>
            <a:r>
              <a:rPr b="0" sz="1300" spc="-1" strike="noStrike">
                <a:solidFill>
                  <a:srgbClr val="000000"/>
                </a:solidFill>
                <a:uFill>
                  <a:solidFill>
                    <a:srgbClr val="ffffff"/>
                  </a:solidFill>
                </a:uFill>
                <a:latin typeface="Arial"/>
              </a:rPr>
              <a:t>Average Farm Cover - Target vs Forecasted</a:t>
            </a:r>
          </a:p>
        </c:rich>
      </c:tx>
      <c:layout>
        <c:manualLayout>
          <c:xMode val="edge"/>
          <c:yMode val="edge"/>
          <c:x val="0.104308055473591"/>
          <c:y val="0.0289832729515147"/>
        </c:manualLayout>
      </c:layout>
      <c:overlay val="0"/>
    </c:title>
    <c:autoTitleDeleted val="0"/>
    <c:plotArea>
      <c:layout>
        <c:manualLayout>
          <c:layoutTarget val="inner"/>
          <c:xMode val="edge"/>
          <c:yMode val="edge"/>
          <c:x val="0.138585620143602"/>
          <c:y val="0.107214428857715"/>
          <c:w val="0.756811252090095"/>
          <c:h val="0.712656081393556"/>
        </c:manualLayout>
      </c:layout>
      <c:lineChart>
        <c:grouping val="standard"/>
        <c:varyColors val="0"/>
        <c:ser>
          <c:idx val="0"/>
          <c:order val="0"/>
          <c:tx>
            <c:strRef>
              <c:f>Graph!$E$3</c:f>
              <c:strCache>
                <c:ptCount val="1"/>
                <c:pt idx="0">
                  <c:v>Target Av. Farm Cover kg DM/ha</c:v>
                </c:pt>
              </c:strCache>
            </c:strRef>
          </c:tx>
          <c:spPr>
            <a:solidFill>
              <a:srgbClr val="000080"/>
            </a:solidFill>
            <a:ln w="25200">
              <a:solidFill>
                <a:srgbClr val="000080"/>
              </a:solidFill>
              <a:round/>
            </a:ln>
          </c:spPr>
          <c:marker>
            <c:symbol val="diamond"/>
            <c:size val="5"/>
            <c:spPr>
              <a:solidFill>
                <a:srgbClr val="000080"/>
              </a:solidFill>
            </c:spPr>
          </c:marker>
          <c:dLbls>
            <c:dLbl>
              <c:idx val="4"/>
              <c:dLblPos val="b"/>
              <c:showLegendKey val="0"/>
              <c:showVal val="1"/>
              <c:showCatName val="0"/>
              <c:showSerName val="0"/>
              <c:showPercent val="0"/>
            </c:dLbl>
            <c:dLblPos val="b"/>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Graph!$E$4:$E$15</c:f>
              <c:numCache>
                <c:formatCode>General</c:formatCode>
                <c:ptCount val="12"/>
                <c:pt idx="0">
                  <c:v>2000</c:v>
                </c:pt>
                <c:pt idx="1">
                  <c:v>2200</c:v>
                </c:pt>
                <c:pt idx="2">
                  <c:v>2300</c:v>
                </c:pt>
                <c:pt idx="3">
                  <c:v>2500</c:v>
                </c:pt>
                <c:pt idx="4">
                  <c:v>2000</c:v>
                </c:pt>
                <c:pt idx="5">
                  <c:v>1800</c:v>
                </c:pt>
                <c:pt idx="6">
                  <c:v>2200</c:v>
                </c:pt>
                <c:pt idx="7">
                  <c:v>2500</c:v>
                </c:pt>
                <c:pt idx="8">
                  <c:v>2400</c:v>
                </c:pt>
                <c:pt idx="9">
                  <c:v>2000</c:v>
                </c:pt>
                <c:pt idx="10">
                  <c:v>2000</c:v>
                </c:pt>
                <c:pt idx="11">
                  <c:v>1800</c:v>
                </c:pt>
              </c:numCache>
            </c:numRef>
          </c:val>
          <c:smooth val="1"/>
        </c:ser>
        <c:ser>
          <c:idx val="1"/>
          <c:order val="1"/>
          <c:tx>
            <c:strRef>
              <c:f>Graph!$F$3</c:f>
              <c:strCache>
                <c:ptCount val="1"/>
                <c:pt idx="0">
                  <c:v>Forecast end of period Av Farm Cover kg DM/ha</c:v>
                </c:pt>
              </c:strCache>
            </c:strRef>
          </c:tx>
          <c:spPr>
            <a:solidFill>
              <a:srgbClr val="ff420e"/>
            </a:solidFill>
            <a:ln w="28800">
              <a:solidFill>
                <a:srgbClr val="ff420e"/>
              </a:solidFill>
              <a:round/>
            </a:ln>
          </c:spPr>
          <c:marker>
            <c:symbol val="square"/>
            <c:size val="8"/>
            <c:spPr>
              <a:solidFill>
                <a:srgbClr val="ff420e"/>
              </a:solidFill>
            </c:spPr>
          </c:marker>
          <c:dLbls>
            <c:dLblPos val="t"/>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Graph!$F$4:$F$15</c:f>
              <c:numCache>
                <c:formatCode>General</c:formatCode>
                <c:ptCount val="12"/>
                <c:pt idx="0">
                  <c:v>2390</c:v>
                </c:pt>
                <c:pt idx="1">
                  <c:v>2680.42105263158</c:v>
                </c:pt>
                <c:pt idx="2">
                  <c:v>2563.75438596491</c:v>
                </c:pt>
                <c:pt idx="3">
                  <c:v>2237.22105263158</c:v>
                </c:pt>
                <c:pt idx="4">
                  <c:v>2053.15855263158</c:v>
                </c:pt>
                <c:pt idx="5">
                  <c:v>2304.13894478845</c:v>
                </c:pt>
                <c:pt idx="6">
                  <c:v>2522.96247420022</c:v>
                </c:pt>
                <c:pt idx="7">
                  <c:v>2968.55070949433</c:v>
                </c:pt>
                <c:pt idx="8">
                  <c:v>3129.08642378004</c:v>
                </c:pt>
                <c:pt idx="9">
                  <c:v>2855.55701201534</c:v>
                </c:pt>
                <c:pt idx="10">
                  <c:v>2196.73348260358</c:v>
                </c:pt>
                <c:pt idx="11">
                  <c:v>1972.84459371469</c:v>
                </c:pt>
              </c:numCache>
            </c:numRef>
          </c:val>
          <c:smooth val="1"/>
        </c:ser>
        <c:hiLowLines>
          <c:spPr>
            <a:ln>
              <a:noFill/>
            </a:ln>
          </c:spPr>
        </c:hiLowLines>
        <c:marker val="1"/>
        <c:axId val="32143361"/>
        <c:axId val="7542521"/>
      </c:lineChart>
      <c:catAx>
        <c:axId val="32143361"/>
        <c:scaling>
          <c:orientation val="minMax"/>
        </c:scaling>
        <c:delete val="0"/>
        <c:axPos val="b"/>
        <c:majorGridlines>
          <c:spPr>
            <a:ln>
              <a:solidFill>
                <a:srgbClr val="3c3c3c"/>
              </a:solidFill>
            </a:ln>
          </c:spPr>
        </c:majorGridlines>
        <c:title>
          <c:tx>
            <c:rich>
              <a:bodyPr rot="0"/>
              <a:lstStyle/>
              <a:p>
                <a:pPr>
                  <a:defRPr b="0" sz="900" spc="-1" strike="noStrike">
                    <a:solidFill>
                      <a:srgbClr val="000000"/>
                    </a:solidFill>
                    <a:uFill>
                      <a:solidFill>
                        <a:srgbClr val="ffffff"/>
                      </a:solidFill>
                    </a:uFill>
                    <a:latin typeface="Arial"/>
                  </a:defRPr>
                </a:pPr>
                <a:r>
                  <a:rPr b="0" sz="900" spc="-1" strike="noStrike">
                    <a:solidFill>
                      <a:srgbClr val="000000"/>
                    </a:solidFill>
                    <a:uFill>
                      <a:solidFill>
                        <a:srgbClr val="ffffff"/>
                      </a:solidFill>
                    </a:uFill>
                    <a:latin typeface="Arial"/>
                  </a:rPr>
                  <a:t>DATE (end of period) </a:t>
                </a:r>
              </a:p>
            </c:rich>
          </c:tx>
          <c:layout>
            <c:manualLayout>
              <c:xMode val="edge"/>
              <c:yMode val="edge"/>
              <c:x val="0.411429133471034"/>
              <c:y val="0.939489709396439"/>
            </c:manualLayout>
          </c:layout>
          <c:overlay val="0"/>
        </c:title>
        <c:numFmt formatCode="D\ MMM\ YY"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7542521"/>
        <c:crossesAt val="6"/>
        <c:auto val="1"/>
        <c:lblAlgn val="ctr"/>
        <c:lblOffset val="100"/>
      </c:catAx>
      <c:valAx>
        <c:axId val="7542521"/>
        <c:scaling>
          <c:orientation val="minMax"/>
        </c:scaling>
        <c:delete val="0"/>
        <c:axPos val="l"/>
        <c:majorGridlines>
          <c:spPr>
            <a:ln>
              <a:solidFill>
                <a:srgbClr val="3c3c3c"/>
              </a:solidFill>
            </a:ln>
          </c:spPr>
        </c:majorGridlines>
        <c:minorGridlines>
          <c:spPr>
            <a:ln>
              <a:solidFill>
                <a:srgbClr val="3c3c3c"/>
              </a:solidFill>
            </a:ln>
          </c:spPr>
        </c:minorGridlines>
        <c:title>
          <c:tx>
            <c:rich>
              <a:bodyPr rot="-5400000"/>
              <a:lstStyle/>
              <a:p>
                <a:pPr>
                  <a:defRPr b="0" sz="1200" spc="-1" strike="noStrike">
                    <a:solidFill>
                      <a:srgbClr val="3c3c3c"/>
                    </a:solidFill>
                    <a:uFill>
                      <a:solidFill>
                        <a:srgbClr val="ffffff"/>
                      </a:solidFill>
                    </a:uFill>
                    <a:latin typeface="Arial"/>
                  </a:defRPr>
                </a:pPr>
                <a:r>
                  <a:rPr b="0" sz="1200" spc="-1" strike="noStrike">
                    <a:solidFill>
                      <a:srgbClr val="3c3c3c"/>
                    </a:solidFill>
                    <a:uFill>
                      <a:solidFill>
                        <a:srgbClr val="ffffff"/>
                      </a:solidFill>
                    </a:uFill>
                    <a:latin typeface="Arial"/>
                  </a:rPr>
                  <a:t>Average Farm Cover kgDM/Ha</a:t>
                </a:r>
              </a:p>
            </c:rich>
          </c:tx>
          <c:layout>
            <c:manualLayout>
              <c:xMode val="edge"/>
              <c:yMode val="edge"/>
              <c:x val="0.0415068358414478"/>
              <c:y val="0.686965235489093"/>
            </c:manualLayout>
          </c:layout>
          <c:overlay val="0"/>
        </c:title>
        <c:numFmt formatCode="0"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32143361"/>
        <c:crossesAt val="1"/>
        <c:crossBetween val="midCat"/>
      </c:valAx>
      <c:spPr>
        <a:noFill/>
        <a:ln w="37800">
          <a:solidFill>
            <a:srgbClr val="ffffff"/>
          </a:solidFill>
          <a:round/>
        </a:ln>
      </c:spPr>
    </c:plotArea>
    <c:legend>
      <c:layout>
        <c:manualLayout>
          <c:xMode val="edge"/>
          <c:yMode val="edge"/>
          <c:x val="0.571063243828071"/>
          <c:y val="0.0443964852782488"/>
        </c:manualLayout>
      </c:layout>
      <c:spPr>
        <a:solidFill>
          <a:srgbClr val="ffffff"/>
        </a:solidFill>
        <a:ln>
          <a:solidFill>
            <a:srgbClr val="3c3c3c"/>
          </a:solidFill>
        </a:ln>
      </c:spPr>
    </c:legend>
    <c:plotVisOnly val="1"/>
    <c:dispBlanksAs val="gap"/>
  </c:chart>
  <c:spPr>
    <a:solidFill>
      <a:srgbClr val="ffffff"/>
    </a:solidFill>
    <a:ln>
      <a:solidFill>
        <a:srgbClr val="3c3c3c"/>
      </a:solidFill>
    </a:ln>
  </c:spPr>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solidFill>
                  <a:srgbClr val="000000"/>
                </a:solidFill>
                <a:uFill>
                  <a:solidFill>
                    <a:srgbClr val="ffffff"/>
                  </a:solidFill>
                </a:uFill>
                <a:latin typeface="Arial"/>
              </a:defRPr>
            </a:pPr>
            <a:r>
              <a:rPr b="0" sz="1300" spc="-1" strike="noStrike">
                <a:solidFill>
                  <a:srgbClr val="000000"/>
                </a:solidFill>
                <a:uFill>
                  <a:solidFill>
                    <a:srgbClr val="ffffff"/>
                  </a:solidFill>
                </a:uFill>
                <a:latin typeface="Arial"/>
              </a:rPr>
              <a:t>Average Farm Cover - Target vs Forecasted</a:t>
            </a:r>
          </a:p>
        </c:rich>
      </c:tx>
      <c:layout>
        <c:manualLayout>
          <c:xMode val="edge"/>
          <c:yMode val="edge"/>
          <c:x val="0.104515050167224"/>
          <c:y val="0.0290897956059098"/>
        </c:manualLayout>
      </c:layout>
      <c:overlay val="0"/>
    </c:title>
    <c:autoTitleDeleted val="0"/>
    <c:plotArea>
      <c:layout>
        <c:manualLayout>
          <c:layoutTarget val="inner"/>
          <c:xMode val="edge"/>
          <c:yMode val="edge"/>
          <c:x val="0.138599252409994"/>
          <c:y val="0.107172931179668"/>
          <c:w val="0.756836513869762"/>
          <c:h val="0.712546888157391"/>
        </c:manualLayout>
      </c:layout>
      <c:lineChart>
        <c:grouping val="standard"/>
        <c:varyColors val="0"/>
        <c:ser>
          <c:idx val="0"/>
          <c:order val="0"/>
          <c:tx>
            <c:strRef>
              <c:f>Graph!$E$3</c:f>
              <c:strCache>
                <c:ptCount val="1"/>
                <c:pt idx="0">
                  <c:v>Target Av. Farm Cover kg DM/ha</c:v>
                </c:pt>
              </c:strCache>
            </c:strRef>
          </c:tx>
          <c:spPr>
            <a:solidFill>
              <a:srgbClr val="000080"/>
            </a:solidFill>
            <a:ln w="25200">
              <a:solidFill>
                <a:srgbClr val="000080"/>
              </a:solidFill>
              <a:round/>
            </a:ln>
          </c:spPr>
          <c:marker>
            <c:symbol val="diamond"/>
            <c:size val="5"/>
            <c:spPr>
              <a:solidFill>
                <a:srgbClr val="000080"/>
              </a:solidFill>
            </c:spPr>
          </c:marker>
          <c:dLbls>
            <c:dLbl>
              <c:idx val="4"/>
              <c:dLblPos val="b"/>
              <c:showLegendKey val="0"/>
              <c:showVal val="1"/>
              <c:showCatName val="0"/>
              <c:showSerName val="0"/>
              <c:showPercent val="0"/>
            </c:dLbl>
            <c:dLblPos val="b"/>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Graph!$E$4:$E$15</c:f>
              <c:numCache>
                <c:formatCode>General</c:formatCode>
                <c:ptCount val="12"/>
                <c:pt idx="0">
                  <c:v>2000</c:v>
                </c:pt>
                <c:pt idx="1">
                  <c:v>2200</c:v>
                </c:pt>
                <c:pt idx="2">
                  <c:v>2300</c:v>
                </c:pt>
                <c:pt idx="3">
                  <c:v>2500</c:v>
                </c:pt>
                <c:pt idx="4">
                  <c:v>2000</c:v>
                </c:pt>
                <c:pt idx="5">
                  <c:v>1800</c:v>
                </c:pt>
                <c:pt idx="6">
                  <c:v>2200</c:v>
                </c:pt>
                <c:pt idx="7">
                  <c:v>2500</c:v>
                </c:pt>
                <c:pt idx="8">
                  <c:v>2400</c:v>
                </c:pt>
                <c:pt idx="9">
                  <c:v>2000</c:v>
                </c:pt>
                <c:pt idx="10">
                  <c:v>2000</c:v>
                </c:pt>
                <c:pt idx="11">
                  <c:v>1800</c:v>
                </c:pt>
              </c:numCache>
            </c:numRef>
          </c:val>
          <c:smooth val="1"/>
        </c:ser>
        <c:ser>
          <c:idx val="1"/>
          <c:order val="1"/>
          <c:tx>
            <c:strRef>
              <c:f>Graph!$F$3</c:f>
              <c:strCache>
                <c:ptCount val="1"/>
                <c:pt idx="0">
                  <c:v>Forecast end of period Av Farm Cover kg DM/ha</c:v>
                </c:pt>
              </c:strCache>
            </c:strRef>
          </c:tx>
          <c:spPr>
            <a:solidFill>
              <a:srgbClr val="ff420e"/>
            </a:solidFill>
            <a:ln w="28800">
              <a:solidFill>
                <a:srgbClr val="ff420e"/>
              </a:solidFill>
              <a:round/>
            </a:ln>
          </c:spPr>
          <c:marker>
            <c:symbol val="square"/>
            <c:size val="8"/>
            <c:spPr>
              <a:solidFill>
                <a:srgbClr val="ff420e"/>
              </a:solidFill>
            </c:spPr>
          </c:marker>
          <c:dLbls>
            <c:dLblPos val="t"/>
            <c:showLegendKey val="0"/>
            <c:showVal val="1"/>
            <c:showCatName val="0"/>
            <c:showSerName val="0"/>
            <c:showPercent val="0"/>
            <c:showLeaderLines val="0"/>
          </c:dLbls>
          <c:cat>
            <c:strRef>
              <c:f>Graph!$D$4:$D$15</c:f>
              <c:strCache>
                <c:ptCount val="12"/>
                <c:pt idx="0">
                  <c:v>1 May 18</c:v>
                </c:pt>
                <c:pt idx="1">
                  <c:v>1 Jun 18</c:v>
                </c:pt>
                <c:pt idx="2">
                  <c:v>1 Jul 18</c:v>
                </c:pt>
                <c:pt idx="3">
                  <c:v>1 Aug 18</c:v>
                </c:pt>
                <c:pt idx="4">
                  <c:v>1 Sep 18</c:v>
                </c:pt>
                <c:pt idx="5">
                  <c:v>1 Oct 18</c:v>
                </c:pt>
                <c:pt idx="6">
                  <c:v>1 Nov 18</c:v>
                </c:pt>
                <c:pt idx="7">
                  <c:v>1 Dec 18</c:v>
                </c:pt>
                <c:pt idx="8">
                  <c:v>1 Jan 19</c:v>
                </c:pt>
                <c:pt idx="9">
                  <c:v>1 Feb 19</c:v>
                </c:pt>
                <c:pt idx="10">
                  <c:v>1 Mar 19</c:v>
                </c:pt>
                <c:pt idx="11">
                  <c:v>1 Apr 19</c:v>
                </c:pt>
              </c:strCache>
            </c:strRef>
          </c:cat>
          <c:val>
            <c:numRef>
              <c:f>Graph!$F$4:$F$15</c:f>
              <c:numCache>
                <c:formatCode>General</c:formatCode>
                <c:ptCount val="12"/>
                <c:pt idx="0">
                  <c:v>2390</c:v>
                </c:pt>
                <c:pt idx="1">
                  <c:v>2680.42105263158</c:v>
                </c:pt>
                <c:pt idx="2">
                  <c:v>2563.75438596491</c:v>
                </c:pt>
                <c:pt idx="3">
                  <c:v>2237.22105263158</c:v>
                </c:pt>
                <c:pt idx="4">
                  <c:v>2053.15855263158</c:v>
                </c:pt>
                <c:pt idx="5">
                  <c:v>2304.13894478845</c:v>
                </c:pt>
                <c:pt idx="6">
                  <c:v>2522.96247420022</c:v>
                </c:pt>
                <c:pt idx="7">
                  <c:v>2968.55070949433</c:v>
                </c:pt>
                <c:pt idx="8">
                  <c:v>3129.08642378004</c:v>
                </c:pt>
                <c:pt idx="9">
                  <c:v>2855.55701201534</c:v>
                </c:pt>
                <c:pt idx="10">
                  <c:v>2196.73348260358</c:v>
                </c:pt>
                <c:pt idx="11">
                  <c:v>1972.84459371469</c:v>
                </c:pt>
              </c:numCache>
            </c:numRef>
          </c:val>
          <c:smooth val="1"/>
        </c:ser>
        <c:hiLowLines>
          <c:spPr>
            <a:ln>
              <a:noFill/>
            </a:ln>
          </c:spPr>
        </c:hiLowLines>
        <c:marker val="1"/>
        <c:axId val="24597118"/>
        <c:axId val="64473870"/>
      </c:lineChart>
      <c:catAx>
        <c:axId val="24597118"/>
        <c:scaling>
          <c:orientation val="minMax"/>
        </c:scaling>
        <c:delete val="0"/>
        <c:axPos val="b"/>
        <c:majorGridlines>
          <c:spPr>
            <a:ln>
              <a:solidFill>
                <a:srgbClr val="3c3c3c"/>
              </a:solidFill>
            </a:ln>
          </c:spPr>
        </c:majorGridlines>
        <c:title>
          <c:tx>
            <c:rich>
              <a:bodyPr rot="0"/>
              <a:lstStyle/>
              <a:p>
                <a:pPr>
                  <a:defRPr b="0" sz="900" spc="-1" strike="noStrike">
                    <a:solidFill>
                      <a:srgbClr val="000000"/>
                    </a:solidFill>
                    <a:uFill>
                      <a:solidFill>
                        <a:srgbClr val="ffffff"/>
                      </a:solidFill>
                    </a:uFill>
                    <a:latin typeface="Arial"/>
                  </a:defRPr>
                </a:pPr>
                <a:r>
                  <a:rPr b="0" sz="900" spc="-1" strike="noStrike">
                    <a:solidFill>
                      <a:srgbClr val="000000"/>
                    </a:solidFill>
                    <a:uFill>
                      <a:solidFill>
                        <a:srgbClr val="ffffff"/>
                      </a:solidFill>
                    </a:uFill>
                    <a:latin typeface="Arial"/>
                  </a:rPr>
                  <a:t>DATE (end of period) </a:t>
                </a:r>
              </a:p>
            </c:rich>
          </c:tx>
          <c:layout>
            <c:manualLayout>
              <c:xMode val="edge"/>
              <c:yMode val="edge"/>
              <c:x val="0.411518788117254"/>
              <c:y val="0.939523845977188"/>
            </c:manualLayout>
          </c:layout>
          <c:overlay val="0"/>
        </c:title>
        <c:numFmt formatCode="D\ MMM\ YY"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64473870"/>
        <c:crossesAt val="6"/>
        <c:auto val="1"/>
        <c:lblAlgn val="ctr"/>
        <c:lblOffset val="100"/>
      </c:catAx>
      <c:valAx>
        <c:axId val="64473870"/>
        <c:scaling>
          <c:orientation val="minMax"/>
        </c:scaling>
        <c:delete val="0"/>
        <c:axPos val="l"/>
        <c:majorGridlines>
          <c:spPr>
            <a:ln>
              <a:solidFill>
                <a:srgbClr val="3c3c3c"/>
              </a:solidFill>
            </a:ln>
          </c:spPr>
        </c:majorGridlines>
        <c:minorGridlines>
          <c:spPr>
            <a:ln>
              <a:solidFill>
                <a:srgbClr val="3c3c3c"/>
              </a:solidFill>
            </a:ln>
          </c:spPr>
        </c:minorGridlines>
        <c:title>
          <c:tx>
            <c:rich>
              <a:bodyPr rot="-5400000"/>
              <a:lstStyle/>
              <a:p>
                <a:pPr>
                  <a:defRPr b="0" sz="1200" spc="-1" strike="noStrike">
                    <a:solidFill>
                      <a:srgbClr val="3c3c3c"/>
                    </a:solidFill>
                    <a:uFill>
                      <a:solidFill>
                        <a:srgbClr val="ffffff"/>
                      </a:solidFill>
                    </a:uFill>
                    <a:latin typeface="Arial"/>
                  </a:defRPr>
                </a:pPr>
                <a:r>
                  <a:rPr b="0" sz="1200" spc="-1" strike="noStrike">
                    <a:solidFill>
                      <a:srgbClr val="3c3c3c"/>
                    </a:solidFill>
                    <a:uFill>
                      <a:solidFill>
                        <a:srgbClr val="ffffff"/>
                      </a:solidFill>
                    </a:uFill>
                    <a:latin typeface="Arial"/>
                  </a:rPr>
                  <a:t>Average Farm Cover kgDM/Ha</a:t>
                </a:r>
              </a:p>
            </c:rich>
          </c:tx>
          <c:layout>
            <c:manualLayout>
              <c:xMode val="edge"/>
              <c:yMode val="edge"/>
              <c:x val="0.0415109187487704"/>
              <c:y val="0.686595728393171"/>
            </c:manualLayout>
          </c:layout>
          <c:overlay val="0"/>
        </c:title>
        <c:numFmt formatCode="0" sourceLinked="1"/>
        <c:majorTickMark val="out"/>
        <c:minorTickMark val="none"/>
        <c:tickLblPos val="nextTo"/>
        <c:spPr>
          <a:ln>
            <a:solidFill>
              <a:srgbClr val="3c3c3c"/>
            </a:solidFill>
          </a:ln>
        </c:spPr>
        <c:txPr>
          <a:bodyPr/>
          <a:p>
            <a:pPr>
              <a:defRPr b="0" sz="1000" spc="-1" strike="noStrike">
                <a:solidFill>
                  <a:srgbClr val="3c3c3c"/>
                </a:solidFill>
                <a:uFill>
                  <a:solidFill>
                    <a:srgbClr val="ffffff"/>
                  </a:solidFill>
                </a:uFill>
                <a:latin typeface="Arial"/>
              </a:defRPr>
            </a:pPr>
          </a:p>
        </c:txPr>
        <c:crossAx val="24597118"/>
        <c:crossesAt val="1"/>
        <c:crossBetween val="midCat"/>
      </c:valAx>
      <c:spPr>
        <a:noFill/>
        <a:ln w="37800">
          <a:solidFill>
            <a:srgbClr val="ffffff"/>
          </a:solidFill>
          <a:round/>
        </a:ln>
      </c:spPr>
    </c:plotArea>
    <c:legend>
      <c:layout>
        <c:manualLayout>
          <c:xMode val="edge"/>
          <c:yMode val="edge"/>
          <c:x val="0.571070234113712"/>
          <c:y val="0.0443236622521626"/>
        </c:manualLayout>
      </c:layout>
      <c:spPr>
        <a:solidFill>
          <a:srgbClr val="ffffff"/>
        </a:solidFill>
        <a:ln>
          <a:solidFill>
            <a:srgbClr val="3c3c3c"/>
          </a:solidFill>
        </a:ln>
      </c:spPr>
    </c:legend>
    <c:plotVisOnly val="1"/>
    <c:dispBlanksAs val="gap"/>
  </c:chart>
  <c:spPr>
    <a:solidFill>
      <a:srgbClr val="ffffff"/>
    </a:solidFill>
    <a:ln>
      <a:solidFill>
        <a:srgbClr val="3c3c3c"/>
      </a:solidFill>
    </a:ln>
  </c:spPr>
</c:chartSpace>
</file>

<file path=xl/drawings/_rels/drawing1.xml.rels><?xml version="1.0" encoding="UTF-8"?>
<Relationships xmlns="http://schemas.openxmlformats.org/package/2006/relationships"><Relationship Id="rId1" Type="http://schemas.openxmlformats.org/officeDocument/2006/relationships/image" Target="../media/image2.png"/>
</Relationships>
</file>

<file path=xl/drawings/_rels/drawing10.xml.rels><?xml version="1.0" encoding="UTF-8"?>
<Relationships xmlns="http://schemas.openxmlformats.org/package/2006/relationships"><Relationship Id="rId1" Type="http://schemas.openxmlformats.org/officeDocument/2006/relationships/image" Target="../media/image10.png"/><Relationship Id="rId2" Type="http://schemas.openxmlformats.org/officeDocument/2006/relationships/chart" Target="../charts/chart11.xml"/>
</Relationships>
</file>

<file path=xl/drawings/_rels/drawing11.xml.rels><?xml version="1.0" encoding="UTF-8"?>
<Relationships xmlns="http://schemas.openxmlformats.org/package/2006/relationships"><Relationship Id="rId1" Type="http://schemas.openxmlformats.org/officeDocument/2006/relationships/image" Target="../media/image11.png"/><Relationship Id="rId2" Type="http://schemas.openxmlformats.org/officeDocument/2006/relationships/chart" Target="../charts/chart12.xml"/>
</Relationships>
</file>

<file path=xl/drawings/_rels/drawing12.xml.rels><?xml version="1.0" encoding="UTF-8"?>
<Relationships xmlns="http://schemas.openxmlformats.org/package/2006/relationships"><Relationship Id="rId1" Type="http://schemas.openxmlformats.org/officeDocument/2006/relationships/image" Target="../media/image12.png"/><Relationship Id="rId2" Type="http://schemas.openxmlformats.org/officeDocument/2006/relationships/chart" Target="../charts/chart13.xml"/>
</Relationships>
</file>

<file path=xl/drawings/_rels/drawing13.xml.rels><?xml version="1.0" encoding="UTF-8"?>
<Relationships xmlns="http://schemas.openxmlformats.org/package/2006/relationships"><Relationship Id="rId1" Type="http://schemas.openxmlformats.org/officeDocument/2006/relationships/image" Target="../media/image13.png"/><Relationship Id="rId2" Type="http://schemas.openxmlformats.org/officeDocument/2006/relationships/chart" Target="../charts/chart14.xml"/>
</Relationships>
</file>

<file path=xl/drawings/_rels/drawing14.xml.rels><?xml version="1.0" encoding="UTF-8"?>
<Relationships xmlns="http://schemas.openxmlformats.org/package/2006/relationships"><Relationship Id="rId1" Type="http://schemas.openxmlformats.org/officeDocument/2006/relationships/image" Target="../media/image14.png"/><Relationship Id="rId2" Type="http://schemas.openxmlformats.org/officeDocument/2006/relationships/chart" Target="../charts/chart15.xml"/>
</Relationships>
</file>

<file path=xl/drawings/_rels/drawing15.xml.rels><?xml version="1.0" encoding="UTF-8"?>
<Relationships xmlns="http://schemas.openxmlformats.org/package/2006/relationships"><Relationship Id="rId1" Type="http://schemas.openxmlformats.org/officeDocument/2006/relationships/image" Target="../media/image15.png"/><Relationship Id="rId2" Type="http://schemas.openxmlformats.org/officeDocument/2006/relationships/chart" Target="../charts/chart16.xml"/>
</Relationships>
</file>

<file path=xl/drawings/_rels/drawing2.xml.rels><?xml version="1.0" encoding="UTF-8"?>
<Relationships xmlns="http://schemas.openxmlformats.org/package/2006/relationships"><Relationship Id="rId1" Type="http://schemas.openxmlformats.org/officeDocument/2006/relationships/chart" Target="../charts/chart3.xml"/>
</Relationships>
</file>

<file path=xl/drawings/_rels/drawing3.xml.rels><?xml version="1.0" encoding="UTF-8"?>
<Relationships xmlns="http://schemas.openxmlformats.org/package/2006/relationships"><Relationship Id="rId1" Type="http://schemas.openxmlformats.org/officeDocument/2006/relationships/image" Target="../media/image3.png"/><Relationship Id="rId2" Type="http://schemas.openxmlformats.org/officeDocument/2006/relationships/chart" Target="../charts/chart4.xml"/>
</Relationships>
</file>

<file path=xl/drawings/_rels/drawing4.xml.rels><?xml version="1.0" encoding="UTF-8"?>
<Relationships xmlns="http://schemas.openxmlformats.org/package/2006/relationships"><Relationship Id="rId1" Type="http://schemas.openxmlformats.org/officeDocument/2006/relationships/image" Target="../media/image4.png"/><Relationship Id="rId2" Type="http://schemas.openxmlformats.org/officeDocument/2006/relationships/chart" Target="../charts/chart5.xml"/>
</Relationships>
</file>

<file path=xl/drawings/_rels/drawing5.xml.rels><?xml version="1.0" encoding="UTF-8"?>
<Relationships xmlns="http://schemas.openxmlformats.org/package/2006/relationships"><Relationship Id="rId1" Type="http://schemas.openxmlformats.org/officeDocument/2006/relationships/image" Target="../media/image5.png"/><Relationship Id="rId2" Type="http://schemas.openxmlformats.org/officeDocument/2006/relationships/chart" Target="../charts/chart6.xml"/>
</Relationships>
</file>

<file path=xl/drawings/_rels/drawing6.xml.rels><?xml version="1.0" encoding="UTF-8"?>
<Relationships xmlns="http://schemas.openxmlformats.org/package/2006/relationships"><Relationship Id="rId1" Type="http://schemas.openxmlformats.org/officeDocument/2006/relationships/image" Target="../media/image6.png"/><Relationship Id="rId2" Type="http://schemas.openxmlformats.org/officeDocument/2006/relationships/chart" Target="../charts/chart7.xml"/>
</Relationships>
</file>

<file path=xl/drawings/_rels/drawing7.xml.rels><?xml version="1.0" encoding="UTF-8"?>
<Relationships xmlns="http://schemas.openxmlformats.org/package/2006/relationships"><Relationship Id="rId1" Type="http://schemas.openxmlformats.org/officeDocument/2006/relationships/image" Target="../media/image7.png"/><Relationship Id="rId2" Type="http://schemas.openxmlformats.org/officeDocument/2006/relationships/chart" Target="../charts/chart8.xml"/>
</Relationships>
</file>

<file path=xl/drawings/_rels/drawing8.xml.rels><?xml version="1.0" encoding="UTF-8"?>
<Relationships xmlns="http://schemas.openxmlformats.org/package/2006/relationships"><Relationship Id="rId1" Type="http://schemas.openxmlformats.org/officeDocument/2006/relationships/image" Target="../media/image8.png"/><Relationship Id="rId2" Type="http://schemas.openxmlformats.org/officeDocument/2006/relationships/chart" Target="../charts/chart9.xml"/>
</Relationships>
</file>

<file path=xl/drawings/_rels/drawing9.xml.rels><?xml version="1.0" encoding="UTF-8"?>
<Relationships xmlns="http://schemas.openxmlformats.org/package/2006/relationships"><Relationship Id="rId1" Type="http://schemas.openxmlformats.org/officeDocument/2006/relationships/image" Target="../media/image9.png"/><Relationship Id="rId2" Type="http://schemas.openxmlformats.org/officeDocument/2006/relationships/chart" Target="../charts/chart10.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2</xdr:col>
      <xdr:colOff>796680</xdr:colOff>
      <xdr:row>0</xdr:row>
      <xdr:rowOff>620280</xdr:rowOff>
    </xdr:to>
    <xdr:pic>
      <xdr:nvPicPr>
        <xdr:cNvPr id="0" name="Graphics 1" descr=""/>
        <xdr:cNvPicPr/>
      </xdr:nvPicPr>
      <xdr:blipFill>
        <a:blip r:embed="rId1"/>
        <a:stretch/>
      </xdr:blipFill>
      <xdr:spPr>
        <a:xfrm>
          <a:off x="0" y="0"/>
          <a:ext cx="2684880" cy="620280"/>
        </a:xfrm>
        <a:prstGeom prst="rect">
          <a:avLst/>
        </a:prstGeom>
        <a:ln>
          <a:noFill/>
        </a:ln>
      </xdr:spPr>
    </xdr:pic>
    <xdr:clientData/>
  </xdr:twoCellAnchor>
</xdr:wsDr>
</file>

<file path=xl/drawings/drawing10.xml><?xml version="1.0" encoding="utf-8"?>
<xdr:wsDr xmlns:xdr="http://schemas.openxmlformats.org/drawingml/2006/spreadsheetDrawing" xmlns:a="http://schemas.openxmlformats.org/drawingml/2006/main" xmlns:r="http://schemas.openxmlformats.org/officeDocument/2006/relationships">
  <xdr:twoCellAnchor editAs="oneCell">
    <xdr:from>
      <xdr:col>14</xdr:col>
      <xdr:colOff>106560</xdr:colOff>
      <xdr:row>2</xdr:row>
      <xdr:rowOff>262440</xdr:rowOff>
    </xdr:from>
    <xdr:to>
      <xdr:col>19</xdr:col>
      <xdr:colOff>331560</xdr:colOff>
      <xdr:row>6</xdr:row>
      <xdr:rowOff>106560</xdr:rowOff>
    </xdr:to>
    <xdr:pic>
      <xdr:nvPicPr>
        <xdr:cNvPr id="16" name="Graphics 1" descr=""/>
        <xdr:cNvPicPr/>
      </xdr:nvPicPr>
      <xdr:blipFill>
        <a:blip r:embed="rId1"/>
        <a:stretch/>
      </xdr:blipFill>
      <xdr:spPr>
        <a:xfrm>
          <a:off x="10016280" y="1010160"/>
          <a:ext cx="2673000" cy="738360"/>
        </a:xfrm>
        <a:prstGeom prst="rect">
          <a:avLst/>
        </a:prstGeom>
        <a:ln>
          <a:noFill/>
        </a:ln>
      </xdr:spPr>
    </xdr:pic>
    <xdr:clientData/>
  </xdr:twoCellAnchor>
  <xdr:twoCellAnchor editAs="oneCell">
    <xdr:from>
      <xdr:col>1</xdr:col>
      <xdr:colOff>162360</xdr:colOff>
      <xdr:row>49</xdr:row>
      <xdr:rowOff>49320</xdr:rowOff>
    </xdr:from>
    <xdr:to>
      <xdr:col>10</xdr:col>
      <xdr:colOff>20520</xdr:colOff>
      <xdr:row>74</xdr:row>
      <xdr:rowOff>176040</xdr:rowOff>
    </xdr:to>
    <xdr:graphicFrame>
      <xdr:nvGraphicFramePr>
        <xdr:cNvPr id="17" name="Chart 3"/>
        <xdr:cNvGraphicFramePr/>
      </xdr:nvGraphicFramePr>
      <xdr:xfrm>
        <a:off x="450000" y="11383920"/>
        <a:ext cx="7319880" cy="477792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mlns:r="http://schemas.openxmlformats.org/officeDocument/2006/relationships">
  <xdr:twoCellAnchor editAs="oneCell">
    <xdr:from>
      <xdr:col>14</xdr:col>
      <xdr:colOff>106560</xdr:colOff>
      <xdr:row>2</xdr:row>
      <xdr:rowOff>262440</xdr:rowOff>
    </xdr:from>
    <xdr:to>
      <xdr:col>19</xdr:col>
      <xdr:colOff>331560</xdr:colOff>
      <xdr:row>6</xdr:row>
      <xdr:rowOff>106560</xdr:rowOff>
    </xdr:to>
    <xdr:pic>
      <xdr:nvPicPr>
        <xdr:cNvPr id="18" name="Graphics 1" descr=""/>
        <xdr:cNvPicPr/>
      </xdr:nvPicPr>
      <xdr:blipFill>
        <a:blip r:embed="rId1"/>
        <a:stretch/>
      </xdr:blipFill>
      <xdr:spPr>
        <a:xfrm>
          <a:off x="10016280" y="1010160"/>
          <a:ext cx="2673000" cy="738360"/>
        </a:xfrm>
        <a:prstGeom prst="rect">
          <a:avLst/>
        </a:prstGeom>
        <a:ln>
          <a:noFill/>
        </a:ln>
      </xdr:spPr>
    </xdr:pic>
    <xdr:clientData/>
  </xdr:twoCellAnchor>
  <xdr:twoCellAnchor editAs="oneCell">
    <xdr:from>
      <xdr:col>1</xdr:col>
      <xdr:colOff>558360</xdr:colOff>
      <xdr:row>50</xdr:row>
      <xdr:rowOff>128880</xdr:rowOff>
    </xdr:from>
    <xdr:to>
      <xdr:col>10</xdr:col>
      <xdr:colOff>416520</xdr:colOff>
      <xdr:row>76</xdr:row>
      <xdr:rowOff>69480</xdr:rowOff>
    </xdr:to>
    <xdr:graphicFrame>
      <xdr:nvGraphicFramePr>
        <xdr:cNvPr id="19" name="Chart 3"/>
        <xdr:cNvGraphicFramePr/>
      </xdr:nvGraphicFramePr>
      <xdr:xfrm>
        <a:off x="846000" y="11649600"/>
        <a:ext cx="7319880" cy="477792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mlns:r="http://schemas.openxmlformats.org/officeDocument/2006/relationships">
  <xdr:twoCellAnchor editAs="oneCell">
    <xdr:from>
      <xdr:col>14</xdr:col>
      <xdr:colOff>106560</xdr:colOff>
      <xdr:row>2</xdr:row>
      <xdr:rowOff>262440</xdr:rowOff>
    </xdr:from>
    <xdr:to>
      <xdr:col>19</xdr:col>
      <xdr:colOff>331560</xdr:colOff>
      <xdr:row>6</xdr:row>
      <xdr:rowOff>106560</xdr:rowOff>
    </xdr:to>
    <xdr:pic>
      <xdr:nvPicPr>
        <xdr:cNvPr id="20" name="Graphics 1" descr=""/>
        <xdr:cNvPicPr/>
      </xdr:nvPicPr>
      <xdr:blipFill>
        <a:blip r:embed="rId1"/>
        <a:stretch/>
      </xdr:blipFill>
      <xdr:spPr>
        <a:xfrm>
          <a:off x="10016280" y="1010160"/>
          <a:ext cx="2673000" cy="738360"/>
        </a:xfrm>
        <a:prstGeom prst="rect">
          <a:avLst/>
        </a:prstGeom>
        <a:ln>
          <a:noFill/>
        </a:ln>
      </xdr:spPr>
    </xdr:pic>
    <xdr:clientData/>
  </xdr:twoCellAnchor>
  <xdr:twoCellAnchor editAs="oneCell">
    <xdr:from>
      <xdr:col>1</xdr:col>
      <xdr:colOff>1206360</xdr:colOff>
      <xdr:row>50</xdr:row>
      <xdr:rowOff>120240</xdr:rowOff>
    </xdr:from>
    <xdr:to>
      <xdr:col>11</xdr:col>
      <xdr:colOff>344520</xdr:colOff>
      <xdr:row>76</xdr:row>
      <xdr:rowOff>60840</xdr:rowOff>
    </xdr:to>
    <xdr:graphicFrame>
      <xdr:nvGraphicFramePr>
        <xdr:cNvPr id="21" name="Chart 3"/>
        <xdr:cNvGraphicFramePr/>
      </xdr:nvGraphicFramePr>
      <xdr:xfrm>
        <a:off x="1494000" y="11640960"/>
        <a:ext cx="7319880" cy="477792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mlns:r="http://schemas.openxmlformats.org/officeDocument/2006/relationships">
  <xdr:twoCellAnchor editAs="oneCell">
    <xdr:from>
      <xdr:col>14</xdr:col>
      <xdr:colOff>106560</xdr:colOff>
      <xdr:row>2</xdr:row>
      <xdr:rowOff>262440</xdr:rowOff>
    </xdr:from>
    <xdr:to>
      <xdr:col>19</xdr:col>
      <xdr:colOff>331560</xdr:colOff>
      <xdr:row>6</xdr:row>
      <xdr:rowOff>106560</xdr:rowOff>
    </xdr:to>
    <xdr:pic>
      <xdr:nvPicPr>
        <xdr:cNvPr id="22" name="Graphics 1" descr=""/>
        <xdr:cNvPicPr/>
      </xdr:nvPicPr>
      <xdr:blipFill>
        <a:blip r:embed="rId1"/>
        <a:stretch/>
      </xdr:blipFill>
      <xdr:spPr>
        <a:xfrm>
          <a:off x="10016280" y="1010160"/>
          <a:ext cx="2673000" cy="738360"/>
        </a:xfrm>
        <a:prstGeom prst="rect">
          <a:avLst/>
        </a:prstGeom>
        <a:ln>
          <a:noFill/>
        </a:ln>
      </xdr:spPr>
    </xdr:pic>
    <xdr:clientData/>
  </xdr:twoCellAnchor>
  <xdr:twoCellAnchor editAs="oneCell">
    <xdr:from>
      <xdr:col>1</xdr:col>
      <xdr:colOff>126360</xdr:colOff>
      <xdr:row>48</xdr:row>
      <xdr:rowOff>146880</xdr:rowOff>
    </xdr:from>
    <xdr:to>
      <xdr:col>9</xdr:col>
      <xdr:colOff>343800</xdr:colOff>
      <xdr:row>74</xdr:row>
      <xdr:rowOff>87120</xdr:rowOff>
    </xdr:to>
    <xdr:graphicFrame>
      <xdr:nvGraphicFramePr>
        <xdr:cNvPr id="23" name="Chart 3"/>
        <xdr:cNvGraphicFramePr/>
      </xdr:nvGraphicFramePr>
      <xdr:xfrm>
        <a:off x="414000" y="11295360"/>
        <a:ext cx="7319160" cy="477756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mlns:r="http://schemas.openxmlformats.org/officeDocument/2006/relationships">
  <xdr:twoCellAnchor editAs="oneCell">
    <xdr:from>
      <xdr:col>14</xdr:col>
      <xdr:colOff>106560</xdr:colOff>
      <xdr:row>2</xdr:row>
      <xdr:rowOff>262440</xdr:rowOff>
    </xdr:from>
    <xdr:to>
      <xdr:col>19</xdr:col>
      <xdr:colOff>331560</xdr:colOff>
      <xdr:row>6</xdr:row>
      <xdr:rowOff>106560</xdr:rowOff>
    </xdr:to>
    <xdr:pic>
      <xdr:nvPicPr>
        <xdr:cNvPr id="24" name="Graphics 1" descr=""/>
        <xdr:cNvPicPr/>
      </xdr:nvPicPr>
      <xdr:blipFill>
        <a:blip r:embed="rId1"/>
        <a:stretch/>
      </xdr:blipFill>
      <xdr:spPr>
        <a:xfrm>
          <a:off x="10016280" y="1010160"/>
          <a:ext cx="2673000" cy="738360"/>
        </a:xfrm>
        <a:prstGeom prst="rect">
          <a:avLst/>
        </a:prstGeom>
        <a:ln>
          <a:noFill/>
        </a:ln>
      </xdr:spPr>
    </xdr:pic>
    <xdr:clientData/>
  </xdr:twoCellAnchor>
  <xdr:twoCellAnchor editAs="oneCell">
    <xdr:from>
      <xdr:col>1</xdr:col>
      <xdr:colOff>720360</xdr:colOff>
      <xdr:row>49</xdr:row>
      <xdr:rowOff>128880</xdr:rowOff>
    </xdr:from>
    <xdr:to>
      <xdr:col>10</xdr:col>
      <xdr:colOff>578520</xdr:colOff>
      <xdr:row>75</xdr:row>
      <xdr:rowOff>69480</xdr:rowOff>
    </xdr:to>
    <xdr:graphicFrame>
      <xdr:nvGraphicFramePr>
        <xdr:cNvPr id="25" name="Chart 3"/>
        <xdr:cNvGraphicFramePr/>
      </xdr:nvGraphicFramePr>
      <xdr:xfrm>
        <a:off x="1008000" y="11463480"/>
        <a:ext cx="7319880" cy="477792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mlns:r="http://schemas.openxmlformats.org/officeDocument/2006/relationships">
  <xdr:twoCellAnchor editAs="oneCell">
    <xdr:from>
      <xdr:col>14</xdr:col>
      <xdr:colOff>106560</xdr:colOff>
      <xdr:row>2</xdr:row>
      <xdr:rowOff>262440</xdr:rowOff>
    </xdr:from>
    <xdr:to>
      <xdr:col>19</xdr:col>
      <xdr:colOff>331560</xdr:colOff>
      <xdr:row>6</xdr:row>
      <xdr:rowOff>106560</xdr:rowOff>
    </xdr:to>
    <xdr:pic>
      <xdr:nvPicPr>
        <xdr:cNvPr id="26" name="Graphics 1" descr=""/>
        <xdr:cNvPicPr/>
      </xdr:nvPicPr>
      <xdr:blipFill>
        <a:blip r:embed="rId1"/>
        <a:stretch/>
      </xdr:blipFill>
      <xdr:spPr>
        <a:xfrm>
          <a:off x="10016280" y="1010160"/>
          <a:ext cx="2673000" cy="738360"/>
        </a:xfrm>
        <a:prstGeom prst="rect">
          <a:avLst/>
        </a:prstGeom>
        <a:ln>
          <a:noFill/>
        </a:ln>
      </xdr:spPr>
    </xdr:pic>
    <xdr:clientData/>
  </xdr:twoCellAnchor>
  <xdr:twoCellAnchor editAs="oneCell">
    <xdr:from>
      <xdr:col>0</xdr:col>
      <xdr:colOff>27000</xdr:colOff>
      <xdr:row>49</xdr:row>
      <xdr:rowOff>57960</xdr:rowOff>
    </xdr:from>
    <xdr:to>
      <xdr:col>8</xdr:col>
      <xdr:colOff>676800</xdr:colOff>
      <xdr:row>74</xdr:row>
      <xdr:rowOff>184680</xdr:rowOff>
    </xdr:to>
    <xdr:graphicFrame>
      <xdr:nvGraphicFramePr>
        <xdr:cNvPr id="27" name="Chart 3"/>
        <xdr:cNvGraphicFramePr/>
      </xdr:nvGraphicFramePr>
      <xdr:xfrm>
        <a:off x="27000" y="11392560"/>
        <a:ext cx="7319160" cy="477792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335520</xdr:colOff>
      <xdr:row>2</xdr:row>
      <xdr:rowOff>135000</xdr:rowOff>
    </xdr:from>
    <xdr:to>
      <xdr:col>16</xdr:col>
      <xdr:colOff>282960</xdr:colOff>
      <xdr:row>25</xdr:row>
      <xdr:rowOff>43200</xdr:rowOff>
    </xdr:to>
    <xdr:graphicFrame>
      <xdr:nvGraphicFramePr>
        <xdr:cNvPr id="1" name="Chart 3"/>
        <xdr:cNvGraphicFramePr/>
      </xdr:nvGraphicFramePr>
      <xdr:xfrm>
        <a:off x="4113000" y="383040"/>
        <a:ext cx="7319880" cy="46695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9</xdr:col>
      <xdr:colOff>929880</xdr:colOff>
      <xdr:row>0</xdr:row>
      <xdr:rowOff>99000</xdr:rowOff>
    </xdr:from>
    <xdr:to>
      <xdr:col>12</xdr:col>
      <xdr:colOff>768600</xdr:colOff>
      <xdr:row>2</xdr:row>
      <xdr:rowOff>97920</xdr:rowOff>
    </xdr:to>
    <xdr:pic>
      <xdr:nvPicPr>
        <xdr:cNvPr id="2" name="Graphics 1" descr=""/>
        <xdr:cNvPicPr/>
      </xdr:nvPicPr>
      <xdr:blipFill>
        <a:blip r:embed="rId1"/>
        <a:stretch/>
      </xdr:blipFill>
      <xdr:spPr>
        <a:xfrm>
          <a:off x="10234440" y="99000"/>
          <a:ext cx="2671200" cy="685080"/>
        </a:xfrm>
        <a:prstGeom prst="rect">
          <a:avLst/>
        </a:prstGeom>
        <a:ln>
          <a:noFill/>
        </a:ln>
      </xdr:spPr>
    </xdr:pic>
    <xdr:clientData/>
  </xdr:twoCellAnchor>
  <xdr:twoCellAnchor editAs="oneCell">
    <xdr:from>
      <xdr:col>4</xdr:col>
      <xdr:colOff>149400</xdr:colOff>
      <xdr:row>93</xdr:row>
      <xdr:rowOff>63720</xdr:rowOff>
    </xdr:from>
    <xdr:to>
      <xdr:col>11</xdr:col>
      <xdr:colOff>855000</xdr:colOff>
      <xdr:row>118</xdr:row>
      <xdr:rowOff>162000</xdr:rowOff>
    </xdr:to>
    <xdr:graphicFrame>
      <xdr:nvGraphicFramePr>
        <xdr:cNvPr id="3" name="Chart 3"/>
        <xdr:cNvGraphicFramePr/>
      </xdr:nvGraphicFramePr>
      <xdr:xfrm>
        <a:off x="4732560" y="18761760"/>
        <a:ext cx="7315560" cy="468684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14</xdr:col>
      <xdr:colOff>106560</xdr:colOff>
      <xdr:row>2</xdr:row>
      <xdr:rowOff>262440</xdr:rowOff>
    </xdr:from>
    <xdr:to>
      <xdr:col>19</xdr:col>
      <xdr:colOff>331560</xdr:colOff>
      <xdr:row>6</xdr:row>
      <xdr:rowOff>106560</xdr:rowOff>
    </xdr:to>
    <xdr:pic>
      <xdr:nvPicPr>
        <xdr:cNvPr id="4" name="Graphics 1" descr=""/>
        <xdr:cNvPicPr/>
      </xdr:nvPicPr>
      <xdr:blipFill>
        <a:blip r:embed="rId1"/>
        <a:stretch/>
      </xdr:blipFill>
      <xdr:spPr>
        <a:xfrm>
          <a:off x="10016280" y="1010160"/>
          <a:ext cx="2673000" cy="738360"/>
        </a:xfrm>
        <a:prstGeom prst="rect">
          <a:avLst/>
        </a:prstGeom>
        <a:ln>
          <a:noFill/>
        </a:ln>
      </xdr:spPr>
    </xdr:pic>
    <xdr:clientData/>
  </xdr:twoCellAnchor>
  <xdr:twoCellAnchor editAs="oneCell">
    <xdr:from>
      <xdr:col>2</xdr:col>
      <xdr:colOff>231120</xdr:colOff>
      <xdr:row>49</xdr:row>
      <xdr:rowOff>5040</xdr:rowOff>
    </xdr:from>
    <xdr:to>
      <xdr:col>14</xdr:col>
      <xdr:colOff>109440</xdr:colOff>
      <xdr:row>74</xdr:row>
      <xdr:rowOff>131040</xdr:rowOff>
    </xdr:to>
    <xdr:graphicFrame>
      <xdr:nvGraphicFramePr>
        <xdr:cNvPr id="5" name="Chart 3"/>
        <xdr:cNvGraphicFramePr/>
      </xdr:nvGraphicFramePr>
      <xdr:xfrm>
        <a:off x="2700000" y="11339640"/>
        <a:ext cx="7319160" cy="47772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14</xdr:col>
      <xdr:colOff>106560</xdr:colOff>
      <xdr:row>2</xdr:row>
      <xdr:rowOff>264600</xdr:rowOff>
    </xdr:from>
    <xdr:to>
      <xdr:col>19</xdr:col>
      <xdr:colOff>331560</xdr:colOff>
      <xdr:row>6</xdr:row>
      <xdr:rowOff>106560</xdr:rowOff>
    </xdr:to>
    <xdr:pic>
      <xdr:nvPicPr>
        <xdr:cNvPr id="6" name="Graphics 1" descr=""/>
        <xdr:cNvPicPr/>
      </xdr:nvPicPr>
      <xdr:blipFill>
        <a:blip r:embed="rId1"/>
        <a:stretch/>
      </xdr:blipFill>
      <xdr:spPr>
        <a:xfrm>
          <a:off x="10016280" y="1012320"/>
          <a:ext cx="2673000" cy="736200"/>
        </a:xfrm>
        <a:prstGeom prst="rect">
          <a:avLst/>
        </a:prstGeom>
        <a:ln>
          <a:noFill/>
        </a:ln>
      </xdr:spPr>
    </xdr:pic>
    <xdr:clientData/>
  </xdr:twoCellAnchor>
  <xdr:twoCellAnchor editAs="oneCell">
    <xdr:from>
      <xdr:col>2</xdr:col>
      <xdr:colOff>442080</xdr:colOff>
      <xdr:row>51</xdr:row>
      <xdr:rowOff>114120</xdr:rowOff>
    </xdr:from>
    <xdr:to>
      <xdr:col>14</xdr:col>
      <xdr:colOff>321120</xdr:colOff>
      <xdr:row>77</xdr:row>
      <xdr:rowOff>21600</xdr:rowOff>
    </xdr:to>
    <xdr:graphicFrame>
      <xdr:nvGraphicFramePr>
        <xdr:cNvPr id="7" name="Chart 3"/>
        <xdr:cNvGraphicFramePr/>
      </xdr:nvGraphicFramePr>
      <xdr:xfrm>
        <a:off x="2910960" y="11820960"/>
        <a:ext cx="7319880" cy="47448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14</xdr:col>
      <xdr:colOff>106560</xdr:colOff>
      <xdr:row>2</xdr:row>
      <xdr:rowOff>264600</xdr:rowOff>
    </xdr:from>
    <xdr:to>
      <xdr:col>19</xdr:col>
      <xdr:colOff>331560</xdr:colOff>
      <xdr:row>6</xdr:row>
      <xdr:rowOff>106560</xdr:rowOff>
    </xdr:to>
    <xdr:pic>
      <xdr:nvPicPr>
        <xdr:cNvPr id="8" name="Graphics 1" descr=""/>
        <xdr:cNvPicPr/>
      </xdr:nvPicPr>
      <xdr:blipFill>
        <a:blip r:embed="rId1"/>
        <a:stretch/>
      </xdr:blipFill>
      <xdr:spPr>
        <a:xfrm>
          <a:off x="10016280" y="1012320"/>
          <a:ext cx="2673000" cy="736200"/>
        </a:xfrm>
        <a:prstGeom prst="rect">
          <a:avLst/>
        </a:prstGeom>
        <a:ln>
          <a:noFill/>
        </a:ln>
      </xdr:spPr>
    </xdr:pic>
    <xdr:clientData/>
  </xdr:twoCellAnchor>
  <xdr:twoCellAnchor editAs="oneCell">
    <xdr:from>
      <xdr:col>1</xdr:col>
      <xdr:colOff>173520</xdr:colOff>
      <xdr:row>54</xdr:row>
      <xdr:rowOff>140400</xdr:rowOff>
    </xdr:from>
    <xdr:to>
      <xdr:col>10</xdr:col>
      <xdr:colOff>33120</xdr:colOff>
      <xdr:row>80</xdr:row>
      <xdr:rowOff>48600</xdr:rowOff>
    </xdr:to>
    <xdr:graphicFrame>
      <xdr:nvGraphicFramePr>
        <xdr:cNvPr id="9" name="Chart 3"/>
        <xdr:cNvGraphicFramePr/>
      </xdr:nvGraphicFramePr>
      <xdr:xfrm>
        <a:off x="461160" y="12405240"/>
        <a:ext cx="7321320" cy="474552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14</xdr:col>
      <xdr:colOff>106560</xdr:colOff>
      <xdr:row>2</xdr:row>
      <xdr:rowOff>264600</xdr:rowOff>
    </xdr:from>
    <xdr:to>
      <xdr:col>19</xdr:col>
      <xdr:colOff>331560</xdr:colOff>
      <xdr:row>6</xdr:row>
      <xdr:rowOff>106560</xdr:rowOff>
    </xdr:to>
    <xdr:pic>
      <xdr:nvPicPr>
        <xdr:cNvPr id="10" name="Graphics 1" descr=""/>
        <xdr:cNvPicPr/>
      </xdr:nvPicPr>
      <xdr:blipFill>
        <a:blip r:embed="rId1"/>
        <a:stretch/>
      </xdr:blipFill>
      <xdr:spPr>
        <a:xfrm>
          <a:off x="10016280" y="1012320"/>
          <a:ext cx="2673000" cy="736200"/>
        </a:xfrm>
        <a:prstGeom prst="rect">
          <a:avLst/>
        </a:prstGeom>
        <a:ln>
          <a:noFill/>
        </a:ln>
      </xdr:spPr>
    </xdr:pic>
    <xdr:clientData/>
  </xdr:twoCellAnchor>
  <xdr:twoCellAnchor editAs="oneCell">
    <xdr:from>
      <xdr:col>0</xdr:col>
      <xdr:colOff>18360</xdr:colOff>
      <xdr:row>49</xdr:row>
      <xdr:rowOff>182880</xdr:rowOff>
    </xdr:from>
    <xdr:to>
      <xdr:col>8</xdr:col>
      <xdr:colOff>668880</xdr:colOff>
      <xdr:row>75</xdr:row>
      <xdr:rowOff>96120</xdr:rowOff>
    </xdr:to>
    <xdr:graphicFrame>
      <xdr:nvGraphicFramePr>
        <xdr:cNvPr id="11" name="Chart 3"/>
        <xdr:cNvGraphicFramePr/>
      </xdr:nvGraphicFramePr>
      <xdr:xfrm>
        <a:off x="18360" y="11517480"/>
        <a:ext cx="7319880" cy="475056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14</xdr:col>
      <xdr:colOff>106560</xdr:colOff>
      <xdr:row>2</xdr:row>
      <xdr:rowOff>264600</xdr:rowOff>
    </xdr:from>
    <xdr:to>
      <xdr:col>19</xdr:col>
      <xdr:colOff>331560</xdr:colOff>
      <xdr:row>6</xdr:row>
      <xdr:rowOff>106560</xdr:rowOff>
    </xdr:to>
    <xdr:pic>
      <xdr:nvPicPr>
        <xdr:cNvPr id="12" name="Graphics 1" descr=""/>
        <xdr:cNvPicPr/>
      </xdr:nvPicPr>
      <xdr:blipFill>
        <a:blip r:embed="rId1"/>
        <a:stretch/>
      </xdr:blipFill>
      <xdr:spPr>
        <a:xfrm>
          <a:off x="10016280" y="1012320"/>
          <a:ext cx="2673000" cy="736200"/>
        </a:xfrm>
        <a:prstGeom prst="rect">
          <a:avLst/>
        </a:prstGeom>
        <a:ln>
          <a:noFill/>
        </a:ln>
      </xdr:spPr>
    </xdr:pic>
    <xdr:clientData/>
  </xdr:twoCellAnchor>
  <xdr:twoCellAnchor editAs="oneCell">
    <xdr:from>
      <xdr:col>1</xdr:col>
      <xdr:colOff>180720</xdr:colOff>
      <xdr:row>51</xdr:row>
      <xdr:rowOff>182880</xdr:rowOff>
    </xdr:from>
    <xdr:to>
      <xdr:col>10</xdr:col>
      <xdr:colOff>38880</xdr:colOff>
      <xdr:row>77</xdr:row>
      <xdr:rowOff>121680</xdr:rowOff>
    </xdr:to>
    <xdr:graphicFrame>
      <xdr:nvGraphicFramePr>
        <xdr:cNvPr id="13" name="Chart 3"/>
        <xdr:cNvGraphicFramePr/>
      </xdr:nvGraphicFramePr>
      <xdr:xfrm>
        <a:off x="468360" y="11889720"/>
        <a:ext cx="7319880" cy="477612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dr:twoCellAnchor editAs="oneCell">
    <xdr:from>
      <xdr:col>14</xdr:col>
      <xdr:colOff>106560</xdr:colOff>
      <xdr:row>2</xdr:row>
      <xdr:rowOff>262440</xdr:rowOff>
    </xdr:from>
    <xdr:to>
      <xdr:col>19</xdr:col>
      <xdr:colOff>331560</xdr:colOff>
      <xdr:row>6</xdr:row>
      <xdr:rowOff>106560</xdr:rowOff>
    </xdr:to>
    <xdr:pic>
      <xdr:nvPicPr>
        <xdr:cNvPr id="14" name="Graphics 1" descr=""/>
        <xdr:cNvPicPr/>
      </xdr:nvPicPr>
      <xdr:blipFill>
        <a:blip r:embed="rId1"/>
        <a:stretch/>
      </xdr:blipFill>
      <xdr:spPr>
        <a:xfrm>
          <a:off x="10016280" y="1010160"/>
          <a:ext cx="2673000" cy="738360"/>
        </a:xfrm>
        <a:prstGeom prst="rect">
          <a:avLst/>
        </a:prstGeom>
        <a:ln>
          <a:noFill/>
        </a:ln>
      </xdr:spPr>
    </xdr:pic>
    <xdr:clientData/>
  </xdr:twoCellAnchor>
  <xdr:twoCellAnchor editAs="oneCell">
    <xdr:from>
      <xdr:col>2</xdr:col>
      <xdr:colOff>231120</xdr:colOff>
      <xdr:row>49</xdr:row>
      <xdr:rowOff>5040</xdr:rowOff>
    </xdr:from>
    <xdr:to>
      <xdr:col>14</xdr:col>
      <xdr:colOff>109440</xdr:colOff>
      <xdr:row>74</xdr:row>
      <xdr:rowOff>131040</xdr:rowOff>
    </xdr:to>
    <xdr:graphicFrame>
      <xdr:nvGraphicFramePr>
        <xdr:cNvPr id="15" name="Chart 3"/>
        <xdr:cNvGraphicFramePr/>
      </xdr:nvGraphicFramePr>
      <xdr:xfrm>
        <a:off x="2700000" y="11339640"/>
        <a:ext cx="7319160" cy="47772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info@grazetech.com.au" TargetMode="External"/><Relationship Id="rId2" Type="http://schemas.openxmlformats.org/officeDocument/2006/relationships/drawing" Target="../drawings/drawing1.xml"/>
</Relationships>
</file>

<file path=xl/worksheets/_rels/sheet10.xml.rels><?xml version="1.0" encoding="UTF-8"?>
<Relationships xmlns="http://schemas.openxmlformats.org/package/2006/relationships"><Relationship Id="rId1" Type="http://schemas.openxmlformats.org/officeDocument/2006/relationships/comments" Target="../comments10.xml"/><Relationship Id="rId2" Type="http://schemas.openxmlformats.org/officeDocument/2006/relationships/drawing" Target="../drawings/drawing10.xml"/><Relationship Id="rId3" Type="http://schemas.openxmlformats.org/officeDocument/2006/relationships/vmlDrawing" Target="../drawings/vmlDrawing7.vml"/>
</Relationships>
</file>

<file path=xl/worksheets/_rels/sheet11.xml.rels><?xml version="1.0" encoding="UTF-8"?>
<Relationships xmlns="http://schemas.openxmlformats.org/package/2006/relationships"><Relationship Id="rId1" Type="http://schemas.openxmlformats.org/officeDocument/2006/relationships/comments" Target="../comments11.xml"/><Relationship Id="rId2" Type="http://schemas.openxmlformats.org/officeDocument/2006/relationships/drawing" Target="../drawings/drawing11.xml"/><Relationship Id="rId3" Type="http://schemas.openxmlformats.org/officeDocument/2006/relationships/vmlDrawing" Target="../drawings/vmlDrawing8.vml"/>
</Relationships>
</file>

<file path=xl/worksheets/_rels/sheet12.xml.rels><?xml version="1.0" encoding="UTF-8"?>
<Relationships xmlns="http://schemas.openxmlformats.org/package/2006/relationships"><Relationship Id="rId1" Type="http://schemas.openxmlformats.org/officeDocument/2006/relationships/comments" Target="../comments12.xml"/><Relationship Id="rId2" Type="http://schemas.openxmlformats.org/officeDocument/2006/relationships/drawing" Target="../drawings/drawing12.xml"/><Relationship Id="rId3" Type="http://schemas.openxmlformats.org/officeDocument/2006/relationships/vmlDrawing" Target="../drawings/vmlDrawing9.vml"/>
</Relationships>
</file>

<file path=xl/worksheets/_rels/sheet13.xml.rels><?xml version="1.0" encoding="UTF-8"?>
<Relationships xmlns="http://schemas.openxmlformats.org/package/2006/relationships"><Relationship Id="rId1" Type="http://schemas.openxmlformats.org/officeDocument/2006/relationships/comments" Target="../comments13.xml"/><Relationship Id="rId2" Type="http://schemas.openxmlformats.org/officeDocument/2006/relationships/drawing" Target="../drawings/drawing13.xml"/><Relationship Id="rId3" Type="http://schemas.openxmlformats.org/officeDocument/2006/relationships/vmlDrawing" Target="../drawings/vmlDrawing10.vml"/>
</Relationships>
</file>

<file path=xl/worksheets/_rels/sheet14.xml.rels><?xml version="1.0" encoding="UTF-8"?>
<Relationships xmlns="http://schemas.openxmlformats.org/package/2006/relationships"><Relationship Id="rId1" Type="http://schemas.openxmlformats.org/officeDocument/2006/relationships/comments" Target="../comments14.xml"/><Relationship Id="rId2" Type="http://schemas.openxmlformats.org/officeDocument/2006/relationships/drawing" Target="../drawings/drawing14.xml"/><Relationship Id="rId3" Type="http://schemas.openxmlformats.org/officeDocument/2006/relationships/vmlDrawing" Target="../drawings/vmlDrawing11.vml"/>
</Relationships>
</file>

<file path=xl/worksheets/_rels/sheet15.xml.rels><?xml version="1.0" encoding="UTF-8"?>
<Relationships xmlns="http://schemas.openxmlformats.org/package/2006/relationships"><Relationship Id="rId1" Type="http://schemas.openxmlformats.org/officeDocument/2006/relationships/comments" Target="../comments15.xml"/><Relationship Id="rId2" Type="http://schemas.openxmlformats.org/officeDocument/2006/relationships/drawing" Target="../drawings/drawing15.xml"/><Relationship Id="rId3" Type="http://schemas.openxmlformats.org/officeDocument/2006/relationships/vmlDrawing" Target="../drawings/vmlDrawing12.v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4.xml"/><Relationship Id="rId3" Type="http://schemas.openxmlformats.org/officeDocument/2006/relationships/vmlDrawing" Target="../drawings/vmlDrawing1.v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8.xml"/><Relationship Id="rId3" Type="http://schemas.openxmlformats.org/officeDocument/2006/relationships/vmlDrawing" Target="../drawings/vmlDrawing5.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9.xml"/><Relationship Id="rId3" Type="http://schemas.openxmlformats.org/officeDocument/2006/relationships/vmlDrawing" Target="../drawings/vmlDrawing6.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J1048576"/>
  <sheetViews>
    <sheetView showFormulas="false" showGridLines="true" showRowColHeaders="true" showZeros="true" rightToLeft="false" tabSelected="true" showOutlineSymbols="true" defaultGridColor="true" view="normal" topLeftCell="A64" colorId="64" zoomScale="110" zoomScaleNormal="110" zoomScalePageLayoutView="100" workbookViewId="0">
      <selection pane="topLeft" activeCell="A87" activeCellId="0" sqref="A87"/>
    </sheetView>
  </sheetViews>
  <sheetFormatPr defaultRowHeight="17" zeroHeight="false" outlineLevelRow="0" outlineLevelCol="0"/>
  <cols>
    <col collapsed="false" customWidth="true" hidden="false" outlineLevel="0" max="4" min="1" style="1" width="13.38"/>
    <col collapsed="false" customWidth="true" hidden="false" outlineLevel="0" max="257" min="5" style="1" width="13.22"/>
    <col collapsed="false" customWidth="true" hidden="false" outlineLevel="0" max="1025" min="258" style="2" width="13.22"/>
  </cols>
  <sheetData>
    <row r="1" customFormat="false" ht="58.15" hidden="false" customHeight="true" outlineLevel="0" collapsed="false">
      <c r="D1" s="3" t="s">
        <v>0</v>
      </c>
    </row>
    <row r="2" customFormat="false" ht="17" hidden="false" customHeight="false" outlineLevel="0" collapsed="false">
      <c r="A2" s="1" t="s">
        <v>1</v>
      </c>
      <c r="B2" s="4" t="s">
        <v>2</v>
      </c>
      <c r="D2" s="3"/>
    </row>
    <row r="3" customFormat="false" ht="22.45" hidden="false" customHeight="true" outlineLevel="0" collapsed="false">
      <c r="A3" s="5" t="s">
        <v>3</v>
      </c>
      <c r="D3" s="3"/>
    </row>
    <row r="4" s="5" customFormat="true" ht="20.1" hidden="false" customHeight="true" outlineLevel="0" collapsed="false">
      <c r="A4" s="6" t="s">
        <v>4</v>
      </c>
      <c r="D4" s="7"/>
    </row>
    <row r="5" s="5" customFormat="true" ht="20.1" hidden="false" customHeight="true" outlineLevel="0" collapsed="false">
      <c r="A5" s="8" t="s">
        <v>5</v>
      </c>
      <c r="D5" s="7"/>
    </row>
    <row r="6" s="5" customFormat="true" ht="20.1" hidden="false" customHeight="true" outlineLevel="0" collapsed="false">
      <c r="A6" s="8" t="s">
        <v>6</v>
      </c>
      <c r="D6" s="7"/>
    </row>
    <row r="7" s="5" customFormat="true" ht="20.1" hidden="false" customHeight="true" outlineLevel="0" collapsed="false">
      <c r="A7" s="8" t="s">
        <v>7</v>
      </c>
      <c r="D7" s="7"/>
    </row>
    <row r="8" s="5" customFormat="true" ht="20.1" hidden="false" customHeight="true" outlineLevel="0" collapsed="false">
      <c r="A8" s="9" t="s">
        <v>8</v>
      </c>
      <c r="D8" s="7"/>
    </row>
    <row r="9" s="5" customFormat="true" ht="20.1" hidden="false" customHeight="true" outlineLevel="0" collapsed="false">
      <c r="A9" s="5" t="s">
        <v>9</v>
      </c>
    </row>
    <row r="10" s="11" customFormat="true" ht="20.1" hidden="false" customHeight="true" outlineLevel="0" collapsed="false">
      <c r="A10" s="10" t="s">
        <v>10</v>
      </c>
    </row>
    <row r="11" s="5" customFormat="true" ht="20.1" hidden="false" customHeight="true" outlineLevel="0" collapsed="false">
      <c r="A11" s="12" t="s">
        <v>11</v>
      </c>
    </row>
    <row r="12" s="5" customFormat="true" ht="20.1" hidden="false" customHeight="true" outlineLevel="0" collapsed="false">
      <c r="A12" s="5" t="s">
        <v>12</v>
      </c>
    </row>
    <row r="13" s="5" customFormat="true" ht="20.1" hidden="false" customHeight="true" outlineLevel="0" collapsed="false"/>
    <row r="14" s="5" customFormat="true" ht="20.1" hidden="false" customHeight="true" outlineLevel="0" collapsed="false">
      <c r="A14" s="13" t="s">
        <v>13</v>
      </c>
    </row>
    <row r="15" s="5" customFormat="true" ht="20.1" hidden="false" customHeight="true" outlineLevel="0" collapsed="false">
      <c r="A15" s="5" t="s">
        <v>14</v>
      </c>
    </row>
    <row r="16" s="5" customFormat="true" ht="20.1" hidden="false" customHeight="true" outlineLevel="0" collapsed="false">
      <c r="A16" s="5" t="s">
        <v>15</v>
      </c>
    </row>
    <row r="17" s="5" customFormat="true" ht="20.1" hidden="false" customHeight="true" outlineLevel="0" collapsed="false">
      <c r="A17" s="5" t="s">
        <v>16</v>
      </c>
    </row>
    <row r="18" s="5" customFormat="true" ht="20.1" hidden="false" customHeight="true" outlineLevel="0" collapsed="false">
      <c r="A18" s="5" t="s">
        <v>17</v>
      </c>
    </row>
    <row r="19" s="5" customFormat="true" ht="20.1" hidden="false" customHeight="true" outlineLevel="0" collapsed="false">
      <c r="A19" s="5" t="s">
        <v>18</v>
      </c>
      <c r="J19" s="14"/>
    </row>
    <row r="20" s="5" customFormat="true" ht="20.1" hidden="false" customHeight="true" outlineLevel="0" collapsed="false">
      <c r="A20" s="5" t="s">
        <v>19</v>
      </c>
    </row>
    <row r="21" s="5" customFormat="true" ht="20.1" hidden="false" customHeight="true" outlineLevel="0" collapsed="false">
      <c r="A21" s="5" t="s">
        <v>20</v>
      </c>
    </row>
    <row r="22" s="5" customFormat="true" ht="20.1" hidden="false" customHeight="true" outlineLevel="0" collapsed="false">
      <c r="A22" s="5" t="s">
        <v>21</v>
      </c>
    </row>
    <row r="23" s="2" customFormat="true" ht="20.1" hidden="false" customHeight="true" outlineLevel="0" collapsed="false"/>
    <row r="24" s="5" customFormat="true" ht="20.1" hidden="false" customHeight="true" outlineLevel="0" collapsed="false"/>
    <row r="25" s="5" customFormat="true" ht="20.1" hidden="false" customHeight="true" outlineLevel="0" collapsed="false">
      <c r="A25" s="13" t="s">
        <v>22</v>
      </c>
    </row>
    <row r="26" s="5" customFormat="true" ht="20.1" hidden="false" customHeight="true" outlineLevel="0" collapsed="false">
      <c r="A26" s="5" t="s">
        <v>23</v>
      </c>
    </row>
    <row r="27" s="5" customFormat="true" ht="20.1" hidden="false" customHeight="true" outlineLevel="0" collapsed="false">
      <c r="A27" s="15" t="s">
        <v>24</v>
      </c>
    </row>
    <row r="28" s="5" customFormat="true" ht="20.1" hidden="false" customHeight="true" outlineLevel="0" collapsed="false">
      <c r="A28" s="5" t="s">
        <v>25</v>
      </c>
    </row>
    <row r="29" s="5" customFormat="true" ht="20.1" hidden="false" customHeight="true" outlineLevel="0" collapsed="false">
      <c r="A29" s="5" t="s">
        <v>26</v>
      </c>
    </row>
    <row r="30" s="5" customFormat="true" ht="20.1" hidden="false" customHeight="true" outlineLevel="0" collapsed="false">
      <c r="A30" s="14" t="s">
        <v>27</v>
      </c>
    </row>
    <row r="31" s="5" customFormat="true" ht="20.1" hidden="false" customHeight="true" outlineLevel="0" collapsed="false">
      <c r="A31" s="14"/>
    </row>
    <row r="32" s="5" customFormat="true" ht="20.1" hidden="false" customHeight="true" outlineLevel="0" collapsed="false">
      <c r="A32" s="13" t="s">
        <v>28</v>
      </c>
    </row>
    <row r="33" s="5" customFormat="true" ht="20.1" hidden="false" customHeight="true" outlineLevel="0" collapsed="false">
      <c r="A33" s="13"/>
    </row>
    <row r="34" s="5" customFormat="true" ht="20.1" hidden="false" customHeight="true" outlineLevel="0" collapsed="false">
      <c r="A34" s="16" t="s">
        <v>29</v>
      </c>
    </row>
    <row r="35" s="5" customFormat="true" ht="20.1" hidden="false" customHeight="true" outlineLevel="0" collapsed="false">
      <c r="A35" s="5" t="s">
        <v>30</v>
      </c>
    </row>
    <row r="36" s="5" customFormat="true" ht="20.1" hidden="false" customHeight="true" outlineLevel="0" collapsed="false"/>
    <row r="37" s="5" customFormat="true" ht="20.1" hidden="false" customHeight="true" outlineLevel="0" collapsed="false">
      <c r="A37" s="16" t="s">
        <v>31</v>
      </c>
    </row>
    <row r="38" s="5" customFormat="true" ht="20.1" hidden="false" customHeight="true" outlineLevel="0" collapsed="false">
      <c r="A38" s="5" t="s">
        <v>32</v>
      </c>
    </row>
    <row r="39" s="5" customFormat="true" ht="20.1" hidden="false" customHeight="true" outlineLevel="0" collapsed="false">
      <c r="A39" s="17" t="s">
        <v>33</v>
      </c>
    </row>
    <row r="40" s="5" customFormat="true" ht="20.1" hidden="false" customHeight="true" outlineLevel="0" collapsed="false">
      <c r="A40" s="17" t="s">
        <v>34</v>
      </c>
    </row>
    <row r="41" s="5" customFormat="true" ht="19.75" hidden="false" customHeight="true" outlineLevel="0" collapsed="false">
      <c r="A41" s="5" t="s">
        <v>35</v>
      </c>
    </row>
    <row r="42" s="5" customFormat="true" ht="19.75" hidden="false" customHeight="true" outlineLevel="0" collapsed="false"/>
    <row r="43" s="5" customFormat="true" ht="20.1" hidden="false" customHeight="true" outlineLevel="0" collapsed="false">
      <c r="A43" s="5" t="s">
        <v>36</v>
      </c>
    </row>
    <row r="44" s="5" customFormat="true" ht="20.1" hidden="false" customHeight="true" outlineLevel="0" collapsed="false">
      <c r="A44" s="10" t="s">
        <v>37</v>
      </c>
    </row>
    <row r="45" s="5" customFormat="true" ht="20.1" hidden="false" customHeight="true" outlineLevel="0" collapsed="false">
      <c r="A45" s="5" t="s">
        <v>38</v>
      </c>
    </row>
    <row r="46" s="5" customFormat="true" ht="20.1" hidden="false" customHeight="true" outlineLevel="0" collapsed="false"/>
    <row r="47" s="5" customFormat="true" ht="20.1" hidden="false" customHeight="true" outlineLevel="0" collapsed="false">
      <c r="A47" s="18" t="s">
        <v>39</v>
      </c>
    </row>
    <row r="48" s="2" customFormat="true" ht="20.1" hidden="false" customHeight="true" outlineLevel="0" collapsed="false">
      <c r="A48" s="19" t="s">
        <v>40</v>
      </c>
    </row>
    <row r="49" s="2" customFormat="true" ht="19.75" hidden="false" customHeight="true" outlineLevel="0" collapsed="false">
      <c r="A49" s="19" t="s">
        <v>41</v>
      </c>
    </row>
    <row r="50" s="5" customFormat="true" ht="20.1" hidden="false" customHeight="true" outlineLevel="0" collapsed="false">
      <c r="A50" s="5" t="s">
        <v>42</v>
      </c>
    </row>
    <row r="51" s="5" customFormat="true" ht="20.1" hidden="false" customHeight="true" outlineLevel="0" collapsed="false">
      <c r="A51" s="20"/>
    </row>
    <row r="52" s="5" customFormat="true" ht="20.1" hidden="false" customHeight="true" outlineLevel="0" collapsed="false">
      <c r="A52" s="21" t="s">
        <v>43</v>
      </c>
    </row>
    <row r="53" s="5" customFormat="true" ht="20.1" hidden="false" customHeight="true" outlineLevel="0" collapsed="false">
      <c r="A53" s="19" t="s">
        <v>44</v>
      </c>
    </row>
    <row r="54" s="5" customFormat="true" ht="20.1" hidden="false" customHeight="true" outlineLevel="0" collapsed="false">
      <c r="A54" s="19" t="s">
        <v>45</v>
      </c>
    </row>
    <row r="55" s="2" customFormat="true" ht="20.1" hidden="false" customHeight="true" outlineLevel="0" collapsed="false"/>
    <row r="56" s="2" customFormat="true" ht="20.1" hidden="false" customHeight="true" outlineLevel="0" collapsed="false">
      <c r="A56" s="22" t="s">
        <v>46</v>
      </c>
    </row>
    <row r="57" s="5" customFormat="true" ht="20.1" hidden="false" customHeight="true" outlineLevel="0" collapsed="false">
      <c r="A57" s="19" t="s">
        <v>47</v>
      </c>
    </row>
    <row r="58" s="5" customFormat="true" ht="20.1" hidden="false" customHeight="true" outlineLevel="0" collapsed="false">
      <c r="A58" s="19" t="s">
        <v>48</v>
      </c>
    </row>
    <row r="59" s="5" customFormat="true" ht="20.1" hidden="false" customHeight="true" outlineLevel="0" collapsed="false">
      <c r="A59" s="2"/>
    </row>
    <row r="60" s="5" customFormat="true" ht="20.1" hidden="false" customHeight="true" outlineLevel="0" collapsed="false">
      <c r="A60" s="23" t="s">
        <v>49</v>
      </c>
    </row>
    <row r="61" s="2" customFormat="true" ht="20.1" hidden="false" customHeight="true" outlineLevel="0" collapsed="false">
      <c r="A61" s="19" t="s">
        <v>50</v>
      </c>
    </row>
    <row r="62" s="5" customFormat="true" ht="20.1" hidden="false" customHeight="true" outlineLevel="0" collapsed="false">
      <c r="A62" s="2" t="s">
        <v>51</v>
      </c>
    </row>
    <row r="63" s="5" customFormat="true" ht="20.1" hidden="false" customHeight="true" outlineLevel="0" collapsed="false">
      <c r="A63" s="2" t="s">
        <v>52</v>
      </c>
    </row>
    <row r="64" s="5" customFormat="true" ht="18.75" hidden="false" customHeight="true" outlineLevel="0" collapsed="false">
      <c r="A64" s="10"/>
    </row>
    <row r="65" s="5" customFormat="true" ht="26.45" hidden="false" customHeight="false" outlineLevel="0" collapsed="false">
      <c r="A65" s="24" t="s">
        <v>53</v>
      </c>
    </row>
    <row r="66" s="2" customFormat="true" ht="14.65" hidden="false" customHeight="false" outlineLevel="0" collapsed="false"/>
    <row r="67" s="5" customFormat="true" ht="20.55" hidden="false" customHeight="false" outlineLevel="0" collapsed="false">
      <c r="A67" s="16" t="s">
        <v>54</v>
      </c>
    </row>
    <row r="68" s="5" customFormat="true" ht="17" hidden="false" customHeight="false" outlineLevel="0" collapsed="false">
      <c r="A68" s="5" t="s">
        <v>55</v>
      </c>
    </row>
    <row r="70" customFormat="false" ht="20.55" hidden="false" customHeight="false" outlineLevel="0" collapsed="false">
      <c r="A70" s="25" t="s">
        <v>56</v>
      </c>
    </row>
    <row r="71" customFormat="false" ht="17" hidden="false" customHeight="false" outlineLevel="0" collapsed="false">
      <c r="A71" s="1" t="s">
        <v>57</v>
      </c>
    </row>
    <row r="72" customFormat="false" ht="17" hidden="false" customHeight="false" outlineLevel="0" collapsed="false">
      <c r="A72" s="1" t="s">
        <v>58</v>
      </c>
    </row>
    <row r="74" customFormat="false" ht="20.55" hidden="false" customHeight="false" outlineLevel="0" collapsed="false">
      <c r="A74" s="25" t="s">
        <v>59</v>
      </c>
    </row>
    <row r="75" customFormat="false" ht="17" hidden="false" customHeight="false" outlineLevel="0" collapsed="false">
      <c r="A75" s="1" t="s">
        <v>60</v>
      </c>
    </row>
    <row r="76" customFormat="false" ht="17" hidden="false" customHeight="false" outlineLevel="0" collapsed="false">
      <c r="A76" s="1" t="s">
        <v>61</v>
      </c>
    </row>
    <row r="77" customFormat="false" ht="17" hidden="false" customHeight="false" outlineLevel="0" collapsed="false">
      <c r="A77" s="1" t="s">
        <v>62</v>
      </c>
    </row>
    <row r="78" customFormat="false" ht="17" hidden="false" customHeight="false" outlineLevel="0" collapsed="false">
      <c r="A78" s="1" t="s">
        <v>63</v>
      </c>
    </row>
    <row r="79" customFormat="false" ht="17" hidden="false" customHeight="false" outlineLevel="0" collapsed="false">
      <c r="A79" s="1" t="s">
        <v>64</v>
      </c>
    </row>
    <row r="81" customFormat="false" ht="20.55" hidden="false" customHeight="false" outlineLevel="0" collapsed="false">
      <c r="A81" s="25" t="s">
        <v>65</v>
      </c>
    </row>
    <row r="82" customFormat="false" ht="17" hidden="false" customHeight="false" outlineLevel="0" collapsed="false">
      <c r="A82" s="1" t="s">
        <v>66</v>
      </c>
    </row>
    <row r="83" customFormat="false" ht="17" hidden="false" customHeight="false" outlineLevel="0" collapsed="false">
      <c r="A83" s="1" t="s">
        <v>67</v>
      </c>
    </row>
    <row r="85" customFormat="false" ht="20.55" hidden="false" customHeight="false" outlineLevel="0" collapsed="false">
      <c r="A85" s="25" t="s">
        <v>68</v>
      </c>
    </row>
    <row r="86" customFormat="false" ht="17" hidden="false" customHeight="false" outlineLevel="0" collapsed="false">
      <c r="A86" s="1" t="s">
        <v>69</v>
      </c>
    </row>
    <row r="87" customFormat="false" ht="17" hidden="false" customHeight="false" outlineLevel="0" collapsed="false">
      <c r="A87" s="1" t="s">
        <v>70</v>
      </c>
    </row>
    <row r="1048576" customFormat="false" ht="12.8" hidden="false" customHeight="false" outlineLevel="0" collapsed="false"/>
  </sheetData>
  <sheetProtection sheet="true" objects="true" scenarios="true" selectLockedCells="true"/>
  <hyperlinks>
    <hyperlink ref="A8" r:id="rId1" display="Please pass any comments about these spreadsheets to info@grazetech.com.au"/>
  </hyperlink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&amp;C&amp;"Arial,Regular"&amp;A</oddHeader>
    <oddFooter>&amp;C&amp;"Arial,Regular"Page &amp;P</oddFooter>
  </headerFooter>
  <drawing r:id="rId2"/>
</worksheet>
</file>

<file path=xl/worksheets/sheet10.xml><?xml version="1.0" encoding="utf-8"?>
<worksheet xmlns="http://schemas.openxmlformats.org/spreadsheetml/2006/main" xmlns:r="http://schemas.openxmlformats.org/officeDocument/2006/relationships">
  <sheetPr filterMode="false">
    <pageSetUpPr fitToPage="false"/>
  </sheetPr>
  <dimension ref="A1:AD49"/>
  <sheetViews>
    <sheetView showFormulas="false" showGridLines="false" showRowColHeaders="true" showZeros="true" rightToLeft="false" tabSelected="false" showOutlineSymbols="true" defaultGridColor="true" view="normal" topLeftCell="A1" colorId="64" zoomScale="110" zoomScaleNormal="110" zoomScalePageLayoutView="100" workbookViewId="0">
      <selection pane="topLeft" activeCell="B2" activeCellId="0" sqref="B2"/>
    </sheetView>
  </sheetViews>
  <sheetFormatPr defaultRowHeight="14.65" zeroHeight="false" outlineLevelRow="0" outlineLevelCol="0"/>
  <cols>
    <col collapsed="false" customWidth="true" hidden="false" outlineLevel="0" max="1" min="1" style="42" width="4.08"/>
    <col collapsed="false" customWidth="true" hidden="false" outlineLevel="0" max="2" min="2" style="42" width="30.91"/>
    <col collapsed="false" customWidth="true" hidden="false" outlineLevel="0" max="3" min="3" style="42" width="9.88"/>
    <col collapsed="false" customWidth="true" hidden="false" outlineLevel="0" max="4" min="4" style="42" width="10.51"/>
    <col collapsed="false" customWidth="true" hidden="false" outlineLevel="0" max="5" min="5" style="42" width="12.08"/>
    <col collapsed="false" customWidth="true" hidden="false" outlineLevel="0" max="6" min="6" style="42" width="11.76"/>
    <col collapsed="false" customWidth="true" hidden="false" outlineLevel="0" max="7" min="7" style="42" width="10.2"/>
    <col collapsed="false" customWidth="true" hidden="false" outlineLevel="0" max="8" min="8" style="42" width="5.1"/>
    <col collapsed="false" customWidth="true" hidden="false" outlineLevel="0" max="9" min="9" style="42" width="10.2"/>
    <col collapsed="false" customWidth="true" hidden="false" outlineLevel="0" max="10" min="10" style="42" width="5.1"/>
    <col collapsed="false" customWidth="true" hidden="false" outlineLevel="0" max="11" min="11" style="42" width="10.2"/>
    <col collapsed="false" customWidth="true" hidden="false" outlineLevel="0" max="12" min="12" style="42" width="5.1"/>
    <col collapsed="false" customWidth="true" hidden="false" outlineLevel="0" max="13" min="13" style="42" width="10.2"/>
    <col collapsed="false" customWidth="true" hidden="false" outlineLevel="0" max="14" min="14" style="42" width="5.1"/>
    <col collapsed="false" customWidth="true" hidden="false" outlineLevel="0" max="15" min="15" style="42" width="10.2"/>
    <col collapsed="false" customWidth="true" hidden="false" outlineLevel="0" max="16" min="16" style="42" width="5.1"/>
    <col collapsed="false" customWidth="true" hidden="false" outlineLevel="0" max="17" min="17" style="42" width="10.2"/>
    <col collapsed="false" customWidth="true" hidden="false" outlineLevel="0" max="18" min="18" style="42" width="5.1"/>
    <col collapsed="false" customWidth="true" hidden="false" outlineLevel="0" max="19" min="19" style="105" width="4.08"/>
    <col collapsed="false" customWidth="true" hidden="false" outlineLevel="0" max="1025" min="20" style="42" width="13.38"/>
  </cols>
  <sheetData>
    <row r="1" customFormat="false" ht="26.55" hidden="false" customHeight="false" outlineLevel="0" collapsed="false">
      <c r="B1" s="197" t="s">
        <v>151</v>
      </c>
      <c r="C1" s="198" t="str">
        <f aca="false">'Set up'!D4</f>
        <v>Farm A</v>
      </c>
      <c r="D1" s="199"/>
      <c r="E1" s="200"/>
      <c r="F1" s="200" t="s">
        <v>152</v>
      </c>
      <c r="G1" s="201" t="n">
        <v>7</v>
      </c>
      <c r="H1" s="202"/>
      <c r="I1" s="44"/>
      <c r="J1" s="44"/>
      <c r="M1" s="203" t="s">
        <v>153</v>
      </c>
      <c r="N1" s="105"/>
      <c r="O1" s="47"/>
      <c r="P1" s="47"/>
      <c r="S1" s="52"/>
    </row>
    <row r="2" customFormat="false" ht="32.35" hidden="false" customHeight="false" outlineLevel="0" collapsed="false">
      <c r="B2" s="430" t="s">
        <v>2</v>
      </c>
      <c r="C2" s="198"/>
      <c r="D2" s="199"/>
      <c r="E2" s="205"/>
      <c r="F2" s="206" t="s">
        <v>154</v>
      </c>
      <c r="I2" s="56"/>
      <c r="J2" s="56"/>
      <c r="K2" s="207"/>
      <c r="L2" s="207"/>
      <c r="M2" s="44"/>
      <c r="N2" s="44"/>
      <c r="O2" s="47"/>
      <c r="P2" s="47"/>
      <c r="S2" s="52"/>
    </row>
    <row r="3" s="42" customFormat="true" ht="26.45" hidden="false" customHeight="false" outlineLevel="0" collapsed="false">
      <c r="B3" s="208" t="s">
        <v>155</v>
      </c>
      <c r="D3" s="56"/>
      <c r="I3" s="209" t="s">
        <v>156</v>
      </c>
      <c r="J3" s="210"/>
    </row>
    <row r="4" s="42" customFormat="true" ht="14.65" hidden="false" customHeight="false" outlineLevel="0" collapsed="false">
      <c r="B4" s="211" t="s">
        <v>157</v>
      </c>
      <c r="C4" s="212" t="n">
        <f aca="false">HLOOKUP($G$1,'Set up'!$D$12:$O$15,3,0)</f>
        <v>43374</v>
      </c>
      <c r="D4" s="213"/>
      <c r="F4" s="214"/>
      <c r="G4" s="215" t="s">
        <v>158</v>
      </c>
      <c r="H4" s="216"/>
      <c r="I4" s="217" t="s">
        <v>159</v>
      </c>
      <c r="J4" s="216"/>
      <c r="K4" s="218" t="s">
        <v>160</v>
      </c>
      <c r="L4" s="219"/>
      <c r="M4" s="220" t="s">
        <v>161</v>
      </c>
      <c r="N4" s="221"/>
      <c r="O4" s="105"/>
      <c r="P4" s="222"/>
      <c r="Q4" s="105"/>
      <c r="R4" s="105"/>
    </row>
    <row r="5" s="42" customFormat="true" ht="14.65" hidden="false" customHeight="false" outlineLevel="0" collapsed="false">
      <c r="B5" s="223" t="s">
        <v>162</v>
      </c>
      <c r="C5" s="224" t="n">
        <f aca="false">HLOOKUP($G$1,'Set up'!$D$12:$O$15,4,0)</f>
        <v>31</v>
      </c>
      <c r="D5" s="199"/>
      <c r="F5" s="222" t="s">
        <v>163</v>
      </c>
      <c r="G5" s="225" t="s">
        <v>164</v>
      </c>
      <c r="H5" s="226"/>
      <c r="I5" s="227" t="s">
        <v>165</v>
      </c>
      <c r="J5" s="227"/>
      <c r="K5" s="228" t="s">
        <v>165</v>
      </c>
      <c r="L5" s="229"/>
      <c r="M5" s="230" t="s">
        <v>164</v>
      </c>
      <c r="N5" s="231"/>
      <c r="O5" s="222"/>
      <c r="P5" s="222"/>
      <c r="Q5" s="105"/>
      <c r="R5" s="232"/>
    </row>
    <row r="6" s="42" customFormat="true" ht="14.65" hidden="false" customHeight="false" outlineLevel="0" collapsed="false">
      <c r="B6" s="233" t="s">
        <v>166</v>
      </c>
      <c r="C6" s="234" t="n">
        <f aca="false">C4+C5</f>
        <v>43405</v>
      </c>
      <c r="D6" s="199"/>
      <c r="F6" s="235" t="s">
        <v>131</v>
      </c>
      <c r="G6" s="236" t="n">
        <f aca="false">IF($G$1=1, VLOOKUP(F6,'Set up'!$A$50:$D$54,3,0),VLOOKUP(F6,'Set up'!$A$50:$O$54,$G$1+2,0))</f>
        <v>17952.9411764706</v>
      </c>
      <c r="H6" s="237"/>
      <c r="I6" s="238" t="n">
        <f aca="false">(($D$17*I$17*$C$5)+($D$18*I$18*$C$5)+($D$19*I$19*$C$5)+($D$20*I$20*$C$5)+($D$21*I$21*$C$5)+($D$22*I$22*$C$5)+($D$23*I$23*$C$5))*(100/VLOOKUP(F6,'Set up'!$A$50:$C$54,2,0))</f>
        <v>0</v>
      </c>
      <c r="J6" s="239"/>
      <c r="K6" s="240" t="n">
        <v>0</v>
      </c>
      <c r="L6" s="237"/>
      <c r="M6" s="241" t="n">
        <f aca="false">G6-I6+K6</f>
        <v>17952.9411764706</v>
      </c>
      <c r="N6" s="242"/>
      <c r="O6" s="44"/>
      <c r="P6" s="44"/>
      <c r="Q6" s="105"/>
      <c r="R6" s="243"/>
    </row>
    <row r="7" s="42" customFormat="true" ht="14.65" hidden="false" customHeight="false" outlineLevel="0" collapsed="false">
      <c r="B7" s="244"/>
      <c r="C7" s="213"/>
      <c r="F7" s="245" t="s">
        <v>129</v>
      </c>
      <c r="G7" s="246" t="n">
        <f aca="false">IF($G$1=1, VLOOKUP(F7,'Set up'!$A$50:$D$54,3,0),VLOOKUP(F7,'Set up'!$A$50:$O$54,$G$1+2,0))</f>
        <v>44373.3333333333</v>
      </c>
      <c r="H7" s="247"/>
      <c r="I7" s="248" t="n">
        <f aca="false">((($D$17*K$17*$C$5)+($D$18*K$18*$C$5)+($D$19*K$19*$C$5)+($D$20*K$20*$C$5)+($D$21*K$21*$C$5)+($D$22*K$22*$C$5)+($D$23*K$23*$C$5)))*(100/VLOOKUP(F7,'Set up'!$A$50:$C$54,2,0))</f>
        <v>20666.6666666667</v>
      </c>
      <c r="J7" s="249"/>
      <c r="K7" s="250" t="n">
        <v>15000</v>
      </c>
      <c r="L7" s="247"/>
      <c r="M7" s="251" t="n">
        <f aca="false">G7-I7+K7</f>
        <v>38706.6666666667</v>
      </c>
      <c r="N7" s="252"/>
      <c r="O7" s="44"/>
      <c r="P7" s="44"/>
      <c r="Q7" s="105"/>
      <c r="R7" s="243"/>
    </row>
    <row r="8" s="42" customFormat="true" ht="14.65" hidden="false" customHeight="false" outlineLevel="0" collapsed="false">
      <c r="B8" s="253" t="s">
        <v>167</v>
      </c>
      <c r="C8" s="254" t="n">
        <f aca="false">'Set up'!D7</f>
        <v>100</v>
      </c>
      <c r="D8" s="255" t="s">
        <v>168</v>
      </c>
      <c r="F8" s="256" t="s">
        <v>130</v>
      </c>
      <c r="G8" s="236" t="n">
        <f aca="false">IF($G$1=1, VLOOKUP(F8,'Set up'!$A$50:$D$54,3,0),VLOOKUP(F8,'Set up'!$A$50:$O$54,$G$1+2,0))</f>
        <v>0</v>
      </c>
      <c r="H8" s="257"/>
      <c r="I8" s="258" t="n">
        <f aca="false">(($D$17*M$17*$C$5)+($D$18*M$18*$C$5)+($D$19*M$19*$C$5)+($D$20*M$20*$C$5)+($D$21*M$21*$C$5)+($D$22*M$22*$C$5)+($D$23*M$23*$C$5))*(100/VLOOKUP(F8,'Set up'!$A$50:$C$54,2,0))</f>
        <v>0</v>
      </c>
      <c r="J8" s="259"/>
      <c r="K8" s="260" t="n">
        <v>0</v>
      </c>
      <c r="L8" s="257"/>
      <c r="M8" s="241" t="n">
        <f aca="false">G8-I8+K8</f>
        <v>0</v>
      </c>
      <c r="N8" s="261"/>
      <c r="O8" s="44"/>
      <c r="P8" s="44"/>
      <c r="Q8" s="105"/>
      <c r="R8" s="243"/>
      <c r="T8" s="262"/>
    </row>
    <row r="9" s="42" customFormat="true" ht="14.65" hidden="false" customHeight="false" outlineLevel="0" collapsed="false">
      <c r="B9" s="263" t="s">
        <v>169</v>
      </c>
      <c r="C9" s="264" t="n">
        <v>0</v>
      </c>
      <c r="D9" s="265" t="n">
        <f aca="true">IF($G$1&lt;&gt;1,INDIRECT("period"&amp;$G$1-1&amp;"!c9"),0)</f>
        <v>0</v>
      </c>
      <c r="F9" s="245" t="s">
        <v>132</v>
      </c>
      <c r="G9" s="246" t="n">
        <f aca="false">IF($G$1=1, VLOOKUP(F9,'Set up'!$A$50:$D$54,3,0),VLOOKUP(F9,'Set up'!$A$50:$O$54,$G$1+2,0))</f>
        <v>0</v>
      </c>
      <c r="H9" s="247"/>
      <c r="I9" s="248" t="n">
        <f aca="false">(($D$17*O$17*$C$5)+($D$18*O$18*$C$5)+($D$19*O$19*$C$5)+($D$20*O$20*$C$5)+($D$21*O$21*$C$5)+($D$22*O$22*$C$5)+($D$23*O$23*$C$5))*(100/VLOOKUP(F9,'Set up'!$A$50:$C$54,2,0))</f>
        <v>0</v>
      </c>
      <c r="J9" s="249"/>
      <c r="K9" s="250" t="n">
        <v>0</v>
      </c>
      <c r="L9" s="247"/>
      <c r="M9" s="251" t="n">
        <f aca="false">G9-I9+K9</f>
        <v>0</v>
      </c>
      <c r="N9" s="252"/>
      <c r="O9" s="44"/>
      <c r="P9" s="44"/>
      <c r="Q9" s="105"/>
      <c r="R9" s="243"/>
    </row>
    <row r="10" s="42" customFormat="true" ht="14.65" hidden="false" customHeight="false" outlineLevel="0" collapsed="false">
      <c r="B10" s="263" t="s">
        <v>170</v>
      </c>
      <c r="C10" s="266" t="n">
        <v>10</v>
      </c>
      <c r="D10" s="265" t="n">
        <f aca="true">IF($G$1&lt;&gt;1,INDIRECT("period"&amp;$G$1-1&amp;"!c10"),0)</f>
        <v>10</v>
      </c>
      <c r="F10" s="267" t="s">
        <v>133</v>
      </c>
      <c r="G10" s="268" t="n">
        <f aca="false">IF($G$1=1, VLOOKUP(F10,'Set up'!$A$50:$D$54,3,0),VLOOKUP(F10,'Set up'!$A$50:$O$54,$G$1+2,0))</f>
        <v>8989.47368421053</v>
      </c>
      <c r="H10" s="269"/>
      <c r="I10" s="270" t="n">
        <f aca="false">(($D$17*Q$17*$C$5)+($D$18*Q$18*$C$5)+($D$19*Q$19*$C$5)+($D$20*Q$20*$C$5)+($D$21*Q$21*$C$5)+($D$22*Q$22*$C$5)+($D$23*Q$23*$C$5))*(100/VLOOKUP(F10,'Set up'!$A$50:$C$54,2,0))</f>
        <v>8157.8947368421</v>
      </c>
      <c r="J10" s="271"/>
      <c r="K10" s="272" t="n">
        <v>0</v>
      </c>
      <c r="L10" s="269"/>
      <c r="M10" s="273" t="n">
        <f aca="false">G10-I10+K10</f>
        <v>831.578947368422</v>
      </c>
      <c r="N10" s="274"/>
      <c r="O10" s="44"/>
      <c r="P10" s="44"/>
      <c r="Q10" s="105"/>
      <c r="R10" s="243"/>
    </row>
    <row r="11" s="42" customFormat="true" ht="14.65" hidden="false" customHeight="false" outlineLevel="0" collapsed="false">
      <c r="B11" s="275" t="s">
        <v>171</v>
      </c>
      <c r="C11" s="276" t="n">
        <f aca="false">C8-C9-C10</f>
        <v>90</v>
      </c>
      <c r="D11" s="265" t="n">
        <f aca="true">IF($G$1&lt;&gt;1,INDIRECT("period"&amp;$G$1-1&amp;"!c11"),0)</f>
        <v>90</v>
      </c>
      <c r="F11" s="42" t="s">
        <v>172</v>
      </c>
    </row>
    <row r="12" s="42" customFormat="true" ht="14.65" hidden="false" customHeight="false" outlineLevel="0" collapsed="false">
      <c r="A12" s="44"/>
      <c r="B12" s="277" t="s">
        <v>173</v>
      </c>
      <c r="C12" s="278" t="n">
        <f aca="false">INDEX('Set up'!D30:O30,1,G1)</f>
        <v>60</v>
      </c>
      <c r="D12" s="279" t="s">
        <v>174</v>
      </c>
      <c r="E12" s="44"/>
      <c r="F12" s="105" t="s">
        <v>175</v>
      </c>
      <c r="G12" s="105"/>
      <c r="H12" s="105"/>
      <c r="I12" s="105"/>
      <c r="J12" s="105"/>
    </row>
    <row r="13" s="42" customFormat="true" ht="14.65" hidden="false" customHeight="false" outlineLevel="0" collapsed="false">
      <c r="B13" s="2"/>
      <c r="C13" s="2"/>
      <c r="D13" s="2"/>
    </row>
    <row r="14" s="42" customFormat="true" ht="14.65" hidden="false" customHeight="false" outlineLevel="0" collapsed="false">
      <c r="B14" s="2"/>
      <c r="C14" s="2"/>
      <c r="D14" s="2"/>
      <c r="F14" s="280"/>
    </row>
    <row r="15" s="42" customFormat="true" ht="57.25" hidden="false" customHeight="true" outlineLevel="0" collapsed="false">
      <c r="B15" s="208" t="s">
        <v>176</v>
      </c>
      <c r="C15" s="281"/>
      <c r="D15" s="282"/>
      <c r="G15" s="283" t="s">
        <v>177</v>
      </c>
      <c r="N15" s="284"/>
      <c r="Y15" s="285"/>
      <c r="Z15" s="285"/>
      <c r="AA15" s="285"/>
      <c r="AB15" s="285"/>
      <c r="AC15" s="285"/>
      <c r="AD15" s="285"/>
    </row>
    <row r="16" customFormat="false" ht="47.7" hidden="false" customHeight="true" outlineLevel="0" collapsed="false">
      <c r="B16" s="286" t="s">
        <v>178</v>
      </c>
      <c r="C16" s="287" t="s">
        <v>179</v>
      </c>
      <c r="D16" s="288" t="s">
        <v>180</v>
      </c>
      <c r="E16" s="289" t="s">
        <v>181</v>
      </c>
      <c r="F16" s="290" t="s">
        <v>182</v>
      </c>
      <c r="G16" s="291" t="s">
        <v>123</v>
      </c>
      <c r="H16" s="292" t="s">
        <v>183</v>
      </c>
      <c r="I16" s="293" t="str">
        <f aca="false">F6</f>
        <v>Meadow Hay</v>
      </c>
      <c r="J16" s="294" t="s">
        <v>183</v>
      </c>
      <c r="K16" s="295" t="str">
        <f aca="false">F7</f>
        <v>Pasture Silage</v>
      </c>
      <c r="L16" s="292" t="s">
        <v>183</v>
      </c>
      <c r="M16" s="293" t="str">
        <f aca="false">F8</f>
        <v>Maize Silage</v>
      </c>
      <c r="N16" s="294" t="s">
        <v>183</v>
      </c>
      <c r="O16" s="295" t="str">
        <f aca="false">F9</f>
        <v>Crop</v>
      </c>
      <c r="P16" s="292" t="s">
        <v>183</v>
      </c>
      <c r="Q16" s="293" t="str">
        <f aca="false">F10</f>
        <v>Meal</v>
      </c>
      <c r="R16" s="294" t="s">
        <v>183</v>
      </c>
      <c r="S16" s="296"/>
    </row>
    <row r="17" customFormat="false" ht="14.65" hidden="false" customHeight="false" outlineLevel="0" collapsed="false">
      <c r="B17" s="297" t="s">
        <v>138</v>
      </c>
      <c r="C17" s="298" t="n">
        <f aca="false">VLOOKUP(B17,'Set up'!$B$62:$O$89,2+$G$1,FALSE())</f>
        <v>250</v>
      </c>
      <c r="D17" s="299" t="n">
        <v>250</v>
      </c>
      <c r="E17" s="300" t="str">
        <f aca="false">TRIM(CLEAN(INDEX('Set up'!$D$63:$O$87,MATCH(B17,'Set up'!$B$62:$B$89,0),+$G$1)))</f>
        <v>16</v>
      </c>
      <c r="F17" s="301" t="n">
        <f aca="false">G17+I17+K17+M17+O17+Q17</f>
        <v>17</v>
      </c>
      <c r="G17" s="302" t="n">
        <v>14</v>
      </c>
      <c r="H17" s="303" t="n">
        <f aca="true">IF($G$1&lt;&gt;1,INDIRECT("period"&amp;$G$1-1&amp;"!G17"),0)</f>
        <v>14</v>
      </c>
      <c r="I17" s="302" t="n">
        <v>0</v>
      </c>
      <c r="J17" s="303" t="n">
        <f aca="true">IF($G$1&lt;&gt;1,INDIRECT("period"&amp;$G$1-1&amp;"!I17"),0)</f>
        <v>1</v>
      </c>
      <c r="K17" s="302" t="n">
        <v>2</v>
      </c>
      <c r="L17" s="303" t="n">
        <f aca="true">IF($G$1&lt;&gt;1,INDIRECT("period"&amp;$G$1-1&amp;"!K17"),0)</f>
        <v>2</v>
      </c>
      <c r="M17" s="302" t="n">
        <v>0</v>
      </c>
      <c r="N17" s="303" t="n">
        <f aca="true">IF($G$1&lt;&gt;1,INDIRECT("period"&amp;$G$1-1&amp;"!M17"),0)</f>
        <v>0</v>
      </c>
      <c r="O17" s="302" t="n">
        <v>0</v>
      </c>
      <c r="P17" s="303" t="n">
        <f aca="true">IF($G$1&lt;&gt;1,INDIRECT("period"&amp;$G$1-1&amp;"!O17"),0)</f>
        <v>0</v>
      </c>
      <c r="Q17" s="304" t="n">
        <v>1</v>
      </c>
      <c r="R17" s="305" t="n">
        <f aca="true">IF($G$1&lt;&gt;1,INDIRECT("period"&amp;$G$1-1&amp;"!Q17"),0)</f>
        <v>1</v>
      </c>
      <c r="S17" s="306"/>
    </row>
    <row r="18" customFormat="false" ht="14.65" hidden="false" customHeight="false" outlineLevel="0" collapsed="false">
      <c r="B18" s="307" t="s">
        <v>142</v>
      </c>
      <c r="C18" s="308" t="n">
        <f aca="false">VLOOKUP(B18,'Set up'!$B$62:$O$89,2+$G$1,FALSE())</f>
        <v>0</v>
      </c>
      <c r="D18" s="309" t="n">
        <v>0</v>
      </c>
      <c r="E18" s="310" t="str">
        <f aca="false">TRIM(CLEAN(INDEX('Set up'!$D$63:$O$87,MATCH(B18,'Set up'!$B$62:$B$89,0),+$G$1)))</f>
        <v>0</v>
      </c>
      <c r="F18" s="311" t="n">
        <f aca="false">G18+I18+K18+M18+O18+Q18</f>
        <v>0</v>
      </c>
      <c r="G18" s="312" t="n">
        <v>0</v>
      </c>
      <c r="H18" s="313" t="n">
        <f aca="true">IF($G$1&lt;&gt;1,INDIRECT("period"&amp;$G$1-1&amp;"!G18"),0)</f>
        <v>0</v>
      </c>
      <c r="I18" s="312" t="n">
        <v>0</v>
      </c>
      <c r="J18" s="313" t="n">
        <f aca="true">IF($G$1&lt;&gt;1,INDIRECT("period"&amp;$G$1-1&amp;"!I18"),0)</f>
        <v>0</v>
      </c>
      <c r="K18" s="312" t="n">
        <v>0</v>
      </c>
      <c r="L18" s="313" t="n">
        <f aca="true">IF($G$1&lt;&gt;1,INDIRECT("period"&amp;$G$1-1&amp;"!K18"),0)</f>
        <v>0</v>
      </c>
      <c r="M18" s="312" t="n">
        <v>0</v>
      </c>
      <c r="N18" s="313" t="n">
        <f aca="true">IF($G$1&lt;&gt;1,INDIRECT("period"&amp;$G$1-1&amp;"!M18"),0)</f>
        <v>0</v>
      </c>
      <c r="O18" s="312" t="n">
        <v>0</v>
      </c>
      <c r="P18" s="313" t="n">
        <f aca="true">IF($G$1&lt;&gt;1,INDIRECT("period"&amp;$G$1-1&amp;"!O18"),0)</f>
        <v>0</v>
      </c>
      <c r="Q18" s="312" t="n">
        <v>0</v>
      </c>
      <c r="R18" s="313" t="n">
        <f aca="true">IF($G$1&lt;&gt;1,INDIRECT("period"&amp;$G$1-1&amp;"!Q18"),0)</f>
        <v>0</v>
      </c>
      <c r="S18" s="306"/>
    </row>
    <row r="19" customFormat="false" ht="14.65" hidden="false" customHeight="false" outlineLevel="0" collapsed="false">
      <c r="B19" s="314" t="s">
        <v>143</v>
      </c>
      <c r="C19" s="308" t="n">
        <f aca="false">VLOOKUP(B19,'Set up'!$B$62:$O$89,2+$G$1,FALSE())</f>
        <v>0</v>
      </c>
      <c r="D19" s="315" t="n">
        <v>0</v>
      </c>
      <c r="E19" s="316" t="str">
        <f aca="false">TRIM(CLEAN(INDEX('Set up'!$D$63:$O$87,MATCH(B19,'Set up'!$B$62:$B$89,0),+$G$1)))</f>
        <v>0</v>
      </c>
      <c r="F19" s="317" t="n">
        <f aca="false">G19+I19+K19+M19+O19+Q19</f>
        <v>0</v>
      </c>
      <c r="G19" s="304" t="n">
        <v>0</v>
      </c>
      <c r="H19" s="305" t="n">
        <f aca="true">IF($G$1&lt;&gt;1,INDIRECT("period"&amp;$G$1-1&amp;"!G19"),0)</f>
        <v>0</v>
      </c>
      <c r="I19" s="304" t="n">
        <v>0</v>
      </c>
      <c r="J19" s="305" t="n">
        <f aca="true">IF($G$1&lt;&gt;1,INDIRECT("period"&amp;$G$1-1&amp;"!I19"),0)</f>
        <v>0</v>
      </c>
      <c r="K19" s="304" t="n">
        <v>0</v>
      </c>
      <c r="L19" s="305" t="n">
        <f aca="true">IF($G$1&lt;&gt;1,INDIRECT("period"&amp;$G$1-1&amp;"!K19"),0)</f>
        <v>2</v>
      </c>
      <c r="M19" s="304" t="n">
        <v>0</v>
      </c>
      <c r="N19" s="305" t="n">
        <f aca="true">IF($G$1&lt;&gt;1,INDIRECT("period"&amp;$G$1-1&amp;"!G19"),0)</f>
        <v>0</v>
      </c>
      <c r="O19" s="304" t="n">
        <v>0</v>
      </c>
      <c r="P19" s="305" t="n">
        <f aca="true">IF($G$1&lt;&gt;1,INDIRECT("period"&amp;$G$1-1&amp;"!O19"),0)</f>
        <v>0</v>
      </c>
      <c r="Q19" s="304" t="n">
        <v>0</v>
      </c>
      <c r="R19" s="305" t="n">
        <f aca="true">IF($G$1&lt;&gt;1,INDIRECT("period"&amp;$G$1-1&amp;"!Q19"),0)</f>
        <v>0</v>
      </c>
      <c r="S19" s="306"/>
    </row>
    <row r="20" customFormat="false" ht="14.65" hidden="false" customHeight="false" outlineLevel="0" collapsed="false">
      <c r="B20" s="307" t="s">
        <v>144</v>
      </c>
      <c r="C20" s="308" t="n">
        <f aca="false">VLOOKUP(B20,'Set up'!$B$62:$O$89,2+$G$1,FALSE())</f>
        <v>50</v>
      </c>
      <c r="D20" s="318" t="n">
        <v>50</v>
      </c>
      <c r="E20" s="310" t="str">
        <f aca="false">TRIM(CLEAN(INDEX('Set up'!$D$63:$O$87,MATCH(B20,'Set up'!$B$62:$B$89,0),+$G$1)))</f>
        <v>7</v>
      </c>
      <c r="F20" s="311" t="n">
        <f aca="false">G20+I20+K20+M20+O20+Q20</f>
        <v>7</v>
      </c>
      <c r="G20" s="312" t="n">
        <v>7</v>
      </c>
      <c r="H20" s="313" t="n">
        <f aca="true">IF($G$1&lt;&gt;1,INDIRECT("period"&amp;$G$1-1&amp;"!G20"),0)</f>
        <v>6</v>
      </c>
      <c r="I20" s="312" t="n">
        <v>0</v>
      </c>
      <c r="J20" s="313" t="n">
        <f aca="true">IF($G$1&lt;&gt;1,INDIRECT("period"&amp;$G$1-1&amp;"!I27"),0)</f>
        <v>0</v>
      </c>
      <c r="K20" s="312" t="n">
        <v>0</v>
      </c>
      <c r="L20" s="313" t="n">
        <f aca="true">IF($G$1&lt;&gt;1,INDIRECT("period"&amp;$G$1-1&amp;"!K20"),0)</f>
        <v>0</v>
      </c>
      <c r="M20" s="312" t="n">
        <v>0</v>
      </c>
      <c r="N20" s="313" t="n">
        <f aca="true">IF($G$1&lt;&gt;1,INDIRECT("period"&amp;$G$1-1&amp;"!M20"),0)</f>
        <v>0</v>
      </c>
      <c r="O20" s="312" t="n">
        <v>0</v>
      </c>
      <c r="P20" s="313" t="n">
        <f aca="true">IF($G$1&lt;&gt;1,INDIRECT("period"&amp;$G$1-1&amp;"!O20"),0)</f>
        <v>0</v>
      </c>
      <c r="Q20" s="312" t="n">
        <v>0</v>
      </c>
      <c r="R20" s="313" t="n">
        <f aca="true">IF($G$1&lt;&gt;1,INDIRECT("period"&amp;$G$1-1&amp;"!Q20"),0)</f>
        <v>0</v>
      </c>
      <c r="S20" s="306"/>
    </row>
    <row r="21" customFormat="false" ht="14.65" hidden="false" customHeight="false" outlineLevel="0" collapsed="false">
      <c r="B21" s="314" t="s">
        <v>145</v>
      </c>
      <c r="C21" s="308" t="n">
        <f aca="false">VLOOKUP(B21,'Set up'!$B$62:$O$89,2+$G$1,FALSE())</f>
        <v>50</v>
      </c>
      <c r="D21" s="315" t="n">
        <v>50</v>
      </c>
      <c r="E21" s="316" t="str">
        <f aca="false">TRIM(CLEAN(INDEX('Set up'!$D$63:$O$87,MATCH(B21,'Set up'!$B$62:$B$89,0),+$G$1)))</f>
        <v>4</v>
      </c>
      <c r="F21" s="317" t="n">
        <f aca="false">G21+I21+K21+M21+O21+Q21</f>
        <v>4</v>
      </c>
      <c r="G21" s="304" t="n">
        <v>4</v>
      </c>
      <c r="H21" s="305" t="n">
        <f aca="true">IF($G$1&lt;&gt;1,INDIRECT("period"&amp;$G$1-1&amp;"!G21"),0)</f>
        <v>3</v>
      </c>
      <c r="I21" s="304" t="n">
        <v>0</v>
      </c>
      <c r="J21" s="305" t="n">
        <f aca="true">IF($G$1&lt;&gt;1,INDIRECT("period"&amp;$G$1-1&amp;"!I21"),0)</f>
        <v>0</v>
      </c>
      <c r="K21" s="304" t="n">
        <v>0</v>
      </c>
      <c r="L21" s="305" t="n">
        <f aca="true">IF($G$1&lt;&gt;1,INDIRECT("period"&amp;$G$1-1&amp;"!K21"),0)</f>
        <v>0</v>
      </c>
      <c r="M21" s="304" t="n">
        <v>0</v>
      </c>
      <c r="N21" s="305" t="n">
        <f aca="true">IF($G$1&lt;&gt;1,INDIRECT("period"&amp;$G$1-1&amp;"!M21"),0)</f>
        <v>0</v>
      </c>
      <c r="O21" s="304" t="n">
        <v>0</v>
      </c>
      <c r="P21" s="305" t="n">
        <f aca="true">IF($G$1&lt;&gt;1,INDIRECT("period"&amp;$G$1-1&amp;"!O21"),0)</f>
        <v>0</v>
      </c>
      <c r="Q21" s="304" t="n">
        <v>0</v>
      </c>
      <c r="R21" s="305" t="n">
        <f aca="true">IF($G$1&lt;&gt;1,INDIRECT("period"&amp;$G$1-1&amp;"!Q21"),0)</f>
        <v>0</v>
      </c>
      <c r="S21" s="319"/>
    </row>
    <row r="22" customFormat="false" ht="14.65" hidden="false" customHeight="false" outlineLevel="0" collapsed="false">
      <c r="B22" s="307" t="s">
        <v>147</v>
      </c>
      <c r="C22" s="308" t="n">
        <f aca="false">VLOOKUP(B22,'Set up'!$B$62:$O$89,2+$G$1,FALSE())</f>
        <v>0</v>
      </c>
      <c r="D22" s="318" t="n">
        <v>0</v>
      </c>
      <c r="E22" s="310" t="str">
        <f aca="false">TRIM(CLEAN(INDEX('Set up'!$D$63:$O$87,MATCH(B22,'Set up'!$B$62:$B$89,0),+$G$1)))</f>
        <v>0</v>
      </c>
      <c r="F22" s="311" t="n">
        <f aca="false">G22+I22+K22+M22+O22+Q22</f>
        <v>0</v>
      </c>
      <c r="G22" s="312" t="n">
        <v>0</v>
      </c>
      <c r="H22" s="313" t="n">
        <f aca="true">IF($G$1&lt;&gt;1,INDIRECT("period"&amp;$G$1-1&amp;"!G22"),0)</f>
        <v>0</v>
      </c>
      <c r="I22" s="312" t="n">
        <v>0</v>
      </c>
      <c r="J22" s="313" t="n">
        <f aca="true">IF($G$1&lt;&gt;1,INDIRECT("period"&amp;$G$1-1&amp;"!i22"),0)</f>
        <v>0</v>
      </c>
      <c r="K22" s="312" t="n">
        <v>0</v>
      </c>
      <c r="L22" s="313" t="n">
        <f aca="true">IF($G$1&lt;&gt;1,INDIRECT("period"&amp;$G$1-1&amp;"!G22"),0)</f>
        <v>0</v>
      </c>
      <c r="M22" s="312" t="n">
        <v>0</v>
      </c>
      <c r="N22" s="313" t="n">
        <f aca="true">IF($G$1&lt;&gt;1,INDIRECT("period"&amp;$G$1-1&amp;"!M22"),0)</f>
        <v>0</v>
      </c>
      <c r="O22" s="312" t="n">
        <v>0</v>
      </c>
      <c r="P22" s="313" t="n">
        <f aca="true">IF($G$1&lt;&gt;1,INDIRECT("period"&amp;$G$1-1&amp;"!O22"),0)</f>
        <v>0</v>
      </c>
      <c r="Q22" s="312" t="n">
        <v>0</v>
      </c>
      <c r="R22" s="313" t="n">
        <f aca="true">IF($G$1&lt;&gt;1,INDIRECT("period"&amp;$G$1-1&amp;"!Q22"),0)</f>
        <v>0</v>
      </c>
      <c r="S22" s="306"/>
    </row>
    <row r="23" customFormat="false" ht="14.65" hidden="false" customHeight="false" outlineLevel="0" collapsed="false">
      <c r="B23" s="320" t="s">
        <v>146</v>
      </c>
      <c r="C23" s="321" t="n">
        <f aca="false">VLOOKUP(B23,'Set up'!$B$62:$O$89,2+$G$1,FALSE())</f>
        <v>0</v>
      </c>
      <c r="D23" s="322" t="n">
        <v>0</v>
      </c>
      <c r="E23" s="323" t="str">
        <f aca="false">TRIM(CLEAN(INDEX('Set up'!$D$63:$O$87,MATCH(B23,'Set up'!$B$62:$B$89,0),+$G$1)))</f>
        <v>0</v>
      </c>
      <c r="F23" s="324" t="n">
        <f aca="false">G23+I23+K23+M23+O23+Q23</f>
        <v>0</v>
      </c>
      <c r="G23" s="325" t="n">
        <v>0</v>
      </c>
      <c r="H23" s="326" t="n">
        <f aca="true">IF($G$1&lt;&gt;1,INDIRECT("period"&amp;$G$1-1&amp;"!G23"),0)</f>
        <v>0</v>
      </c>
      <c r="I23" s="325" t="n">
        <v>0</v>
      </c>
      <c r="J23" s="326" t="n">
        <f aca="true">IF($G$1&lt;&gt;1,INDIRECT("period"&amp;$G$1-1&amp;"!I23"),0)</f>
        <v>0</v>
      </c>
      <c r="K23" s="325" t="n">
        <v>0</v>
      </c>
      <c r="L23" s="326" t="n">
        <f aca="true">IF($G$1&lt;&gt;1,INDIRECT("period"&amp;$G$1-1&amp;"!K23"),0)</f>
        <v>0</v>
      </c>
      <c r="M23" s="325" t="n">
        <v>0</v>
      </c>
      <c r="N23" s="326" t="n">
        <f aca="true">IF($G$1&lt;&gt;1,INDIRECT("period"&amp;$G$1-1&amp;"!M23"),0)</f>
        <v>0</v>
      </c>
      <c r="O23" s="325" t="n">
        <v>0</v>
      </c>
      <c r="P23" s="326" t="n">
        <f aca="true">IF($G$1&lt;&gt;1,INDIRECT("period"&amp;$G$1-1&amp;"!G23"),0)</f>
        <v>0</v>
      </c>
      <c r="Q23" s="325" t="n">
        <v>0</v>
      </c>
      <c r="R23" s="326" t="n">
        <f aca="true">IF($G$1&lt;&gt;1,INDIRECT("period"&amp;$G$1-1&amp;"!Q23"),0)</f>
        <v>0</v>
      </c>
      <c r="S23" s="306"/>
    </row>
    <row r="24" customFormat="false" ht="14.65" hidden="false" customHeight="false" outlineLevel="0" collapsed="false">
      <c r="B24" s="327" t="s">
        <v>184</v>
      </c>
      <c r="C24" s="328" t="n">
        <f aca="false">SUM(C17:C23)</f>
        <v>350</v>
      </c>
      <c r="D24" s="329" t="n">
        <f aca="false">SUM(D17:D23)</f>
        <v>350</v>
      </c>
      <c r="E24" s="330"/>
      <c r="F24" s="330"/>
      <c r="S24" s="331"/>
    </row>
    <row r="25" customFormat="false" ht="14.65" hidden="false" customHeight="false" outlineLevel="0" collapsed="false">
      <c r="B25" s="332"/>
      <c r="C25" s="333"/>
      <c r="D25" s="334"/>
      <c r="E25" s="330"/>
      <c r="F25" s="330"/>
      <c r="H25" s="335"/>
      <c r="I25" s="336"/>
      <c r="J25" s="337" t="s">
        <v>185</v>
      </c>
      <c r="K25" s="336"/>
      <c r="L25" s="336"/>
      <c r="M25" s="338"/>
      <c r="S25" s="331"/>
    </row>
    <row r="26" s="42" customFormat="true" ht="14.65" hidden="false" customHeight="false" outlineLevel="0" collapsed="false">
      <c r="H26" s="339"/>
      <c r="I26" s="340"/>
      <c r="J26" s="341" t="s">
        <v>186</v>
      </c>
      <c r="K26" s="342" t="n">
        <f aca="false">G46</f>
        <v>2522.96247420022</v>
      </c>
      <c r="L26" s="343" t="s">
        <v>174</v>
      </c>
      <c r="M26" s="344"/>
    </row>
    <row r="27" s="42" customFormat="true" ht="14.65" hidden="false" customHeight="false" outlineLevel="0" collapsed="false">
      <c r="H27" s="136"/>
      <c r="I27" s="346"/>
      <c r="J27" s="347" t="s">
        <v>187</v>
      </c>
      <c r="K27" s="348" t="str">
        <f aca="false">"("&amp;G47</f>
        <v>(2200</v>
      </c>
      <c r="L27" s="349" t="s">
        <v>188</v>
      </c>
      <c r="M27" s="350"/>
    </row>
    <row r="28" s="42" customFormat="true" ht="27.25" hidden="false" customHeight="false" outlineLevel="0" collapsed="false">
      <c r="B28" s="208" t="s">
        <v>189</v>
      </c>
      <c r="G28" s="351"/>
      <c r="H28" s="351"/>
      <c r="I28" s="352"/>
      <c r="J28" s="352"/>
      <c r="K28" s="353" t="s">
        <v>190</v>
      </c>
      <c r="L28" s="353"/>
      <c r="M28" s="352"/>
      <c r="N28" s="352"/>
      <c r="O28" s="352"/>
      <c r="P28" s="352"/>
      <c r="Q28" s="354"/>
      <c r="R28" s="354"/>
    </row>
    <row r="29" s="42" customFormat="true" ht="14.65" hidden="false" customHeight="false" outlineLevel="0" collapsed="false">
      <c r="B29" s="42" t="s">
        <v>191</v>
      </c>
      <c r="G29" s="355"/>
      <c r="H29" s="355"/>
      <c r="I29" s="356"/>
      <c r="J29" s="356"/>
      <c r="K29" s="357"/>
      <c r="L29" s="357"/>
      <c r="M29" s="356"/>
      <c r="N29" s="356"/>
      <c r="O29" s="356"/>
      <c r="P29" s="356"/>
      <c r="Q29" s="358"/>
      <c r="R29" s="358"/>
      <c r="T29" s="359"/>
    </row>
    <row r="30" s="42" customFormat="true" ht="23.85" hidden="false" customHeight="false" outlineLevel="0" collapsed="false">
      <c r="G30" s="360" t="s">
        <v>123</v>
      </c>
      <c r="H30" s="361"/>
      <c r="I30" s="362" t="str">
        <f aca="false">I16</f>
        <v>Meadow Hay</v>
      </c>
      <c r="J30" s="363"/>
      <c r="K30" s="364" t="str">
        <f aca="false">K16</f>
        <v>Pasture Silage</v>
      </c>
      <c r="L30" s="365"/>
      <c r="M30" s="362" t="str">
        <f aca="false">M16</f>
        <v>Maize Silage</v>
      </c>
      <c r="N30" s="363"/>
      <c r="O30" s="366" t="str">
        <f aca="false">O16</f>
        <v>Crop</v>
      </c>
      <c r="P30" s="365"/>
      <c r="Q30" s="362" t="str">
        <f aca="false">Q16</f>
        <v>Meal</v>
      </c>
      <c r="R30" s="363"/>
    </row>
    <row r="31" s="42" customFormat="true" ht="14.65" hidden="false" customHeight="false" outlineLevel="0" collapsed="false">
      <c r="E31" s="367" t="str">
        <f aca="false">B17</f>
        <v>Milking Cows Herd A</v>
      </c>
      <c r="F31" s="368"/>
      <c r="G31" s="369" t="n">
        <f aca="false">G17*(1/INDEX('Set up'!$D$45:$O$45,1,$G$1))</f>
        <v>16.4705882352941</v>
      </c>
      <c r="H31" s="370"/>
      <c r="I31" s="371" t="n">
        <f aca="false">I17*100/((VLOOKUP(I$16,'Set up'!$A$50:$B$54,2,0)))</f>
        <v>0</v>
      </c>
      <c r="J31" s="371"/>
      <c r="K31" s="369" t="n">
        <f aca="false">K17*100/((VLOOKUP(K$16,'Set up'!$A$50:$B$54,2,0)))</f>
        <v>2.66666666666667</v>
      </c>
      <c r="L31" s="370"/>
      <c r="M31" s="369" t="n">
        <f aca="false">M17*100/((VLOOKUP(M$16,'Set up'!$A$50:$B$54,2,0)))</f>
        <v>0</v>
      </c>
      <c r="N31" s="370"/>
      <c r="O31" s="369" t="n">
        <f aca="false">O17*100/((VLOOKUP(O$16,'Set up'!$A$50:$B$54,2,0)))</f>
        <v>0</v>
      </c>
      <c r="P31" s="370"/>
      <c r="Q31" s="369" t="n">
        <f aca="false">Q17*100/((VLOOKUP(Q$16,'Set up'!$A$50:$B$54,2,0)))</f>
        <v>1.05263157894737</v>
      </c>
      <c r="R31" s="370"/>
    </row>
    <row r="32" s="42" customFormat="true" ht="14.65" hidden="false" customHeight="false" outlineLevel="0" collapsed="false">
      <c r="E32" s="372" t="str">
        <f aca="false">B18</f>
        <v>Dry Fats</v>
      </c>
      <c r="F32" s="373"/>
      <c r="G32" s="374" t="n">
        <f aca="false">G18*(1/INDEX('Set up'!$D$45:$O$45,1,$G$1))</f>
        <v>0</v>
      </c>
      <c r="H32" s="375"/>
      <c r="I32" s="376" t="n">
        <f aca="false">I18*100/((VLOOKUP(I$16,'Set up'!$A$50:$B$54,2,0)))</f>
        <v>0</v>
      </c>
      <c r="J32" s="376"/>
      <c r="K32" s="377" t="n">
        <f aca="false">K18*100/((VLOOKUP(K$16,'Set up'!$A$50:$B$54,2,0)))</f>
        <v>0</v>
      </c>
      <c r="L32" s="378"/>
      <c r="M32" s="377" t="n">
        <f aca="false">M18*100/((VLOOKUP(M$16,'Set up'!$A$50:$B$54,2,0)))</f>
        <v>0</v>
      </c>
      <c r="N32" s="378"/>
      <c r="O32" s="377" t="n">
        <f aca="false">O18*100/((VLOOKUP(O$16,'Set up'!$A$50:$B$54,2,0)))</f>
        <v>0</v>
      </c>
      <c r="P32" s="378"/>
      <c r="Q32" s="377" t="n">
        <f aca="false">Q18*100/((VLOOKUP(Q$16,'Set up'!$A$50:$B$54,2,0)))</f>
        <v>0</v>
      </c>
      <c r="R32" s="378"/>
    </row>
    <row r="33" s="42" customFormat="true" ht="14.65" hidden="false" customHeight="false" outlineLevel="0" collapsed="false">
      <c r="E33" s="379" t="str">
        <f aca="false">B19</f>
        <v>Dry thins</v>
      </c>
      <c r="F33" s="380"/>
      <c r="G33" s="369" t="n">
        <f aca="false">G19*(1/INDEX('Set up'!$D$45:$O$45,1,$G$1))</f>
        <v>0</v>
      </c>
      <c r="H33" s="370"/>
      <c r="I33" s="371" t="n">
        <f aca="false">I19*100/((VLOOKUP(I$16,'Set up'!$A$50:$B$54,2,0)))</f>
        <v>0</v>
      </c>
      <c r="J33" s="371"/>
      <c r="K33" s="369" t="n">
        <f aca="false">K19*100/((VLOOKUP(K$16,'Set up'!$A$50:$B$54,2,0)))</f>
        <v>0</v>
      </c>
      <c r="L33" s="370"/>
      <c r="M33" s="369" t="n">
        <f aca="false">M19*100/((VLOOKUP(M$16,'Set up'!$A$50:$B$54,2,0)))</f>
        <v>0</v>
      </c>
      <c r="N33" s="370"/>
      <c r="O33" s="369" t="n">
        <f aca="false">O19*100/((VLOOKUP(O$16,'Set up'!$A$50:$B$54,2,0)))</f>
        <v>0</v>
      </c>
      <c r="P33" s="370"/>
      <c r="Q33" s="369" t="n">
        <f aca="false">Q19*100/((VLOOKUP(Q$16,'Set up'!$A$50:$B$54,2,0)))</f>
        <v>0</v>
      </c>
      <c r="R33" s="370"/>
    </row>
    <row r="34" s="42" customFormat="true" ht="14.65" hidden="false" customHeight="false" outlineLevel="0" collapsed="false">
      <c r="E34" s="372" t="str">
        <f aca="false">B20</f>
        <v>R 2yr heifers</v>
      </c>
      <c r="F34" s="373"/>
      <c r="G34" s="374" t="n">
        <f aca="false">G20*(1/INDEX('Set up'!$D$45:$O$45,1,$G$1))</f>
        <v>8.23529411764706</v>
      </c>
      <c r="H34" s="375"/>
      <c r="I34" s="381" t="n">
        <f aca="false">I20*100/((VLOOKUP(I$16,'Set up'!$A$50:$B$54,2,0)))</f>
        <v>0</v>
      </c>
      <c r="J34" s="381"/>
      <c r="K34" s="382" t="n">
        <f aca="false">K20*100/((VLOOKUP(K$16,'Set up'!$A$50:$B$54,2,0)))</f>
        <v>0</v>
      </c>
      <c r="L34" s="383"/>
      <c r="M34" s="382" t="n">
        <f aca="false">M20*100/((VLOOKUP(M$16,'Set up'!$A$50:$B$54,2,0)))</f>
        <v>0</v>
      </c>
      <c r="N34" s="383"/>
      <c r="O34" s="382" t="n">
        <f aca="false">O20*100/((VLOOKUP(O$16,'Set up'!$A$50:$B$54,2,0)))</f>
        <v>0</v>
      </c>
      <c r="P34" s="383"/>
      <c r="Q34" s="382" t="n">
        <f aca="false">Q20*100/((VLOOKUP(Q$16,'Set up'!$A$50:$B$54,2,0)))</f>
        <v>0</v>
      </c>
      <c r="R34" s="383"/>
    </row>
    <row r="35" s="42" customFormat="true" ht="14.65" hidden="false" customHeight="false" outlineLevel="0" collapsed="false">
      <c r="E35" s="367" t="str">
        <f aca="false">B21</f>
        <v>Heifer Calves</v>
      </c>
      <c r="F35" s="368"/>
      <c r="G35" s="369" t="n">
        <f aca="false">G21*(1/INDEX('Set up'!$D$45:$O$45,1,$G$1))</f>
        <v>4.70588235294118</v>
      </c>
      <c r="H35" s="370"/>
      <c r="I35" s="371" t="n">
        <f aca="false">I21*100/((VLOOKUP(I$16,'Set up'!$A$50:$B$54,2,0)))</f>
        <v>0</v>
      </c>
      <c r="J35" s="371"/>
      <c r="K35" s="369" t="n">
        <f aca="false">K21*100/((VLOOKUP(K$16,'Set up'!$A$50:$B$54,2,0)))</f>
        <v>0</v>
      </c>
      <c r="L35" s="370"/>
      <c r="M35" s="369" t="n">
        <f aca="false">M21*100/((VLOOKUP(M$16,'Set up'!$A$50:$B$54,2,0)))</f>
        <v>0</v>
      </c>
      <c r="N35" s="370"/>
      <c r="O35" s="369" t="n">
        <f aca="false">O21*100/((VLOOKUP(O$16,'Set up'!$A$50:$B$54,2,0)))</f>
        <v>0</v>
      </c>
      <c r="P35" s="370"/>
      <c r="Q35" s="369" t="n">
        <f aca="false">Q21*100/((VLOOKUP(Q$16,'Set up'!$A$50:$B$54,2,0)))</f>
        <v>0</v>
      </c>
      <c r="R35" s="370"/>
    </row>
    <row r="36" s="42" customFormat="true" ht="14.65" hidden="false" customHeight="false" outlineLevel="0" collapsed="false">
      <c r="E36" s="372" t="str">
        <f aca="false">B22</f>
        <v>Bulls</v>
      </c>
      <c r="F36" s="373"/>
      <c r="G36" s="374" t="n">
        <f aca="false">G22*(1/INDEX('Set up'!$D$45:$O$45,1,$G$1))</f>
        <v>0</v>
      </c>
      <c r="H36" s="375"/>
      <c r="I36" s="381" t="n">
        <f aca="false">I22*100/((VLOOKUP(I$16,'Set up'!$A$50:$B$54,2,0)))</f>
        <v>0</v>
      </c>
      <c r="J36" s="381"/>
      <c r="K36" s="382" t="n">
        <f aca="false">K22*100/((VLOOKUP(K$16,'Set up'!$A$50:$B$54,2,0)))</f>
        <v>0</v>
      </c>
      <c r="L36" s="383"/>
      <c r="M36" s="382" t="n">
        <f aca="false">M22*100/((VLOOKUP(M$16,'Set up'!$A$50:$B$54,2,0)))</f>
        <v>0</v>
      </c>
      <c r="N36" s="383"/>
      <c r="O36" s="382" t="n">
        <f aca="false">O22*100/((VLOOKUP(O$16,'Set up'!$A$50:$B$54,2,0)))</f>
        <v>0</v>
      </c>
      <c r="P36" s="383"/>
      <c r="Q36" s="382" t="n">
        <f aca="false">Q22*100/((VLOOKUP(Q$16,'Set up'!$A$50:$B$54,2,0)))</f>
        <v>0</v>
      </c>
      <c r="R36" s="383"/>
    </row>
    <row r="37" s="42" customFormat="true" ht="14.65" hidden="false" customHeight="false" outlineLevel="0" collapsed="false">
      <c r="E37" s="379" t="str">
        <f aca="false">B23</f>
        <v>Bull Calves</v>
      </c>
      <c r="F37" s="380"/>
      <c r="G37" s="369" t="n">
        <f aca="false">G23*(1/INDEX('Set up'!$D$45:$O$45,1,$G$1))</f>
        <v>0</v>
      </c>
      <c r="H37" s="370"/>
      <c r="I37" s="371" t="n">
        <f aca="false">I23*100/((VLOOKUP(I$16,'Set up'!$A$50:$B$54,2,0)))</f>
        <v>0</v>
      </c>
      <c r="J37" s="371"/>
      <c r="K37" s="369" t="n">
        <f aca="false">K23*100/((VLOOKUP(K$16,'Set up'!$A$50:$B$54,2,0)))</f>
        <v>0</v>
      </c>
      <c r="L37" s="370"/>
      <c r="M37" s="369" t="n">
        <f aca="false">M23*100/((VLOOKUP(M$16,'Set up'!$A$50:$B$54,2,0)))</f>
        <v>0</v>
      </c>
      <c r="N37" s="370"/>
      <c r="O37" s="369" t="n">
        <f aca="false">O23*100/((VLOOKUP(O$16,'Set up'!$A$50:$B$54,2,0)))</f>
        <v>0</v>
      </c>
      <c r="P37" s="370"/>
      <c r="Q37" s="369" t="n">
        <f aca="false">Q23*100/((VLOOKUP(Q$16,'Set up'!$A$50:$B$54,2,0)))</f>
        <v>0</v>
      </c>
      <c r="R37" s="370"/>
    </row>
    <row r="38" s="105" customFormat="true" ht="14.95" hidden="false" customHeight="false" outlineLevel="0" collapsed="false">
      <c r="B38" s="384"/>
      <c r="C38" s="385"/>
      <c r="D38" s="386"/>
      <c r="E38" s="386"/>
      <c r="F38" s="387" t="s">
        <v>192</v>
      </c>
      <c r="G38" s="388" t="n">
        <f aca="false">(($G17*$D17)+($G18*$D18)+($G19*$D19)+($G20*$D20)+($G21*$D21)+($G22*$D22)+($G23*$D23))*(1/INDEX('Set up'!$D45:$O45,1,$G$1))</f>
        <v>4764.70588235294</v>
      </c>
      <c r="H38" s="388"/>
      <c r="I38" s="389" t="n">
        <f aca="false">((I17*$D17)+(I18*$D18)+(I19*$D19)+(I20*$D20)+(I21*$D21)+(I22*$D22)+(I23*$D23))*(100/VLOOKUP($F6,'Set up'!$A$50:$C$54,2,0))</f>
        <v>0</v>
      </c>
      <c r="J38" s="390"/>
      <c r="K38" s="389" t="n">
        <f aca="false">((K17*$D17)+(K18*$D18)+(K19*$D19)+(K20*$D20)+(K21*$D21)+(K22*$D22)+(K23*$D23))*(100/VLOOKUP($F7,'Set up'!$A$50:$C$54,2,0))</f>
        <v>666.666666666667</v>
      </c>
      <c r="L38" s="390"/>
      <c r="M38" s="389" t="n">
        <f aca="false">((M17*$D17)+(M18*$D18)+(M19*$D19)+(M20*$D20)+(M21*$D21)+(M22*$D22)+(M23*$D23))*(100/VLOOKUP($F8,'Set up'!$A$50:$C$54,2,0))</f>
        <v>0</v>
      </c>
      <c r="N38" s="390"/>
      <c r="O38" s="389" t="n">
        <f aca="false">((O17*$D17)+(O18*$D18)+(O19*$D19)+(O20*$D20)+(O21*$D21)+(O22*$D22)+(O23*$D23))*(100/VLOOKUP($F9,'Set up'!$A$50:$C$54,2,0))</f>
        <v>0</v>
      </c>
      <c r="P38" s="390"/>
      <c r="Q38" s="389" t="n">
        <f aca="false">((Q17*$D17)+(Q18*$D18)+(Q19*$D19)+(Q20*$D20)+(Q21*$D21)+(Q22*$D22)+(Q23*$D23))*(100/VLOOKUP($F10,'Set up'!$A$50:$C$54,2,0))</f>
        <v>263.157894736842</v>
      </c>
      <c r="R38" s="390"/>
      <c r="S38" s="331"/>
    </row>
    <row r="39" s="42" customFormat="true" ht="14.95" hidden="false" customHeight="false" outlineLevel="0" collapsed="false">
      <c r="B39" s="391"/>
      <c r="C39" s="392"/>
      <c r="D39" s="392"/>
      <c r="E39" s="392"/>
      <c r="F39" s="393" t="s">
        <v>193</v>
      </c>
      <c r="G39" s="394" t="n">
        <f aca="false">G38*$C$5</f>
        <v>147705.882352941</v>
      </c>
      <c r="H39" s="394"/>
      <c r="I39" s="395" t="n">
        <f aca="false">I38*$C$5</f>
        <v>0</v>
      </c>
      <c r="J39" s="396"/>
      <c r="K39" s="395" t="n">
        <f aca="false">K38*$C$5</f>
        <v>20666.6666666667</v>
      </c>
      <c r="L39" s="396"/>
      <c r="M39" s="395" t="n">
        <f aca="false">M38*$C$5</f>
        <v>0</v>
      </c>
      <c r="N39" s="396"/>
      <c r="O39" s="395" t="n">
        <f aca="false">O38*$C$5</f>
        <v>0</v>
      </c>
      <c r="P39" s="396"/>
      <c r="Q39" s="395" t="n">
        <f aca="false">Q38*$C$5</f>
        <v>8157.8947368421</v>
      </c>
      <c r="R39" s="396"/>
    </row>
    <row r="40" s="42" customFormat="true" ht="14.95" hidden="false" customHeight="false" outlineLevel="0" collapsed="false">
      <c r="B40" s="42" t="s">
        <v>194</v>
      </c>
    </row>
    <row r="41" s="42" customFormat="true" ht="14.75" hidden="false" customHeight="true" outlineLevel="0" collapsed="false"/>
    <row r="42" customFormat="false" ht="14.75" hidden="false" customHeight="true" outlineLevel="0" collapsed="false">
      <c r="Q42" s="52"/>
      <c r="R42" s="52"/>
      <c r="S42" s="44"/>
    </row>
    <row r="43" s="42" customFormat="true" ht="32" hidden="false" customHeight="true" outlineLevel="0" collapsed="false">
      <c r="B43" s="208" t="s">
        <v>195</v>
      </c>
    </row>
    <row r="44" s="42" customFormat="true" ht="32" hidden="false" customHeight="true" outlineLevel="0" collapsed="false">
      <c r="B44" s="208"/>
    </row>
    <row r="45" s="42" customFormat="true" ht="14.65" hidden="false" customHeight="false" outlineLevel="0" collapsed="false">
      <c r="B45" s="44"/>
      <c r="C45" s="237"/>
      <c r="D45" s="397"/>
      <c r="E45" s="397"/>
      <c r="F45" s="398" t="s">
        <v>196</v>
      </c>
      <c r="G45" s="399" t="n">
        <f aca="true">IF(G1=1,'Set up'!$D$35,INDIRECT("period"&amp;$G$1-1&amp;"!G46"))</f>
        <v>2304.13894478845</v>
      </c>
      <c r="H45" s="400" t="s">
        <v>197</v>
      </c>
      <c r="I45" s="401"/>
      <c r="J45" s="402"/>
      <c r="K45" s="213" t="str">
        <f aca="false">IF(G1=1,"*NB: For Period1, enter the opening  Av Farm Cover in cell D37 in 'Set up'","NB: Opening av farm cover is the previous period's forecasted closing av farm cover")</f>
        <v>NB: Opening av farm cover is the previous period's forecasted closing av farm cover</v>
      </c>
      <c r="P45" s="44"/>
      <c r="V45" s="345"/>
      <c r="W45" s="2"/>
    </row>
    <row r="46" s="42" customFormat="true" ht="14.65" hidden="false" customHeight="false" outlineLevel="0" collapsed="false">
      <c r="B46" s="44"/>
      <c r="C46" s="403"/>
      <c r="D46" s="404"/>
      <c r="E46" s="404"/>
      <c r="F46" s="405" t="s">
        <v>198</v>
      </c>
      <c r="G46" s="406" t="n">
        <f aca="false">($G$45+ ($C$5*$C$12) -(G39/C11))</f>
        <v>2522.96247420022</v>
      </c>
      <c r="H46" s="407" t="s">
        <v>197</v>
      </c>
      <c r="I46" s="408"/>
      <c r="J46" s="409"/>
      <c r="K46" s="410"/>
      <c r="P46" s="44"/>
    </row>
    <row r="47" s="42" customFormat="true" ht="14.65" hidden="false" customHeight="false" outlineLevel="0" collapsed="false">
      <c r="B47" s="44"/>
      <c r="C47" s="411"/>
      <c r="D47" s="412"/>
      <c r="E47" s="412"/>
      <c r="F47" s="413" t="s">
        <v>199</v>
      </c>
      <c r="G47" s="429" t="n">
        <f aca="false">INDEX('Set up'!$D37:$O37,1,G1)</f>
        <v>2200</v>
      </c>
      <c r="H47" s="415" t="s">
        <v>197</v>
      </c>
      <c r="I47" s="416"/>
      <c r="J47" s="417"/>
      <c r="K47" s="410"/>
      <c r="P47" s="331"/>
      <c r="V47" s="345"/>
    </row>
    <row r="48" s="42" customFormat="true" ht="14.65" hidden="false" customHeight="false" outlineLevel="0" collapsed="false">
      <c r="B48" s="44"/>
      <c r="C48" s="247"/>
      <c r="D48" s="418"/>
      <c r="E48" s="418"/>
      <c r="F48" s="419" t="s">
        <v>200</v>
      </c>
      <c r="G48" s="420" t="n">
        <f aca="false">G46-G47</f>
        <v>322.962474200215</v>
      </c>
      <c r="H48" s="407" t="s">
        <v>197</v>
      </c>
      <c r="I48" s="408"/>
      <c r="J48" s="421"/>
      <c r="K48" s="422" t="s">
        <v>201</v>
      </c>
      <c r="P48" s="331"/>
    </row>
    <row r="49" s="42" customFormat="true" ht="14.65" hidden="false" customHeight="false" outlineLevel="0" collapsed="false">
      <c r="B49" s="44"/>
      <c r="C49" s="269"/>
      <c r="D49" s="423"/>
      <c r="E49" s="423"/>
      <c r="F49" s="424" t="s">
        <v>202</v>
      </c>
      <c r="G49" s="425" t="n">
        <f aca="false">G48*C11</f>
        <v>29066.6226780194</v>
      </c>
      <c r="H49" s="426" t="str">
        <f aca="false">"kg DM total over  nett "&amp;C11&amp;" ha"</f>
        <v>kg DM total over  nett 90 ha</v>
      </c>
      <c r="I49" s="427"/>
      <c r="J49" s="428"/>
      <c r="K49" s="410"/>
      <c r="P49" s="331"/>
      <c r="Q49" s="42" t="str">
        <f aca="false">CONCATENATE(Q43,S43)</f>
        <v/>
      </c>
    </row>
  </sheetData>
  <sheetProtection sheet="true" objects="true" scenarios="true" selectLockedCells="true"/>
  <mergeCells count="1">
    <mergeCell ref="Y15:AD15"/>
  </mergeCells>
  <dataValidations count="4">
    <dataValidation allowBlank="false" operator="equal" showDropDown="false" showErrorMessage="false" showInputMessage="false" sqref="F6 F8:F10" type="list">
      <formula1>'Set up'!$A$50:$A$54</formula1>
      <formula2>0</formula2>
    </dataValidation>
    <dataValidation allowBlank="false" operator="equal" showDropDown="false" showErrorMessage="false" showInputMessage="false" sqref="F7" type="list">
      <formula1>'Set up'!$A$50:$A$54</formula1>
      <formula2>0</formula2>
    </dataValidation>
    <dataValidation allowBlank="true" operator="equal" showDropDown="false" showErrorMessage="false" showInputMessage="false" sqref="B17" type="list">
      <formula1>'Set up'!$B$62:$B$90</formula1>
      <formula2>0</formula2>
    </dataValidation>
    <dataValidation allowBlank="true" operator="equal" showDropDown="false" showErrorMessage="false" showInputMessage="false" sqref="B18:B23" type="list">
      <formula1>'Set up'!$B$62:$B$89</formula1>
      <formula2>0</formula2>
    </dataValidation>
  </dataValidation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&amp;C&amp;"Arial,Regular"&amp;A</oddHeader>
    <oddFooter>&amp;C&amp;"Arial,Regular"Page &amp;P</oddFooter>
  </headerFooter>
  <drawing r:id="rId2"/>
  <legacyDrawing r:id="rId3"/>
</worksheet>
</file>

<file path=xl/worksheets/sheet11.xml><?xml version="1.0" encoding="utf-8"?>
<worksheet xmlns="http://schemas.openxmlformats.org/spreadsheetml/2006/main" xmlns:r="http://schemas.openxmlformats.org/officeDocument/2006/relationships">
  <sheetPr filterMode="false">
    <pageSetUpPr fitToPage="false"/>
  </sheetPr>
  <dimension ref="A1:AD49"/>
  <sheetViews>
    <sheetView showFormulas="false" showGridLines="false" showRowColHeaders="true" showZeros="true" rightToLeft="false" tabSelected="false" showOutlineSymbols="true" defaultGridColor="true" view="normal" topLeftCell="A1" colorId="64" zoomScale="110" zoomScaleNormal="110" zoomScalePageLayoutView="100" workbookViewId="0">
      <selection pane="topLeft" activeCell="B2" activeCellId="0" sqref="B2"/>
    </sheetView>
  </sheetViews>
  <sheetFormatPr defaultRowHeight="14.65" zeroHeight="false" outlineLevelRow="0" outlineLevelCol="0"/>
  <cols>
    <col collapsed="false" customWidth="true" hidden="false" outlineLevel="0" max="1" min="1" style="42" width="4.08"/>
    <col collapsed="false" customWidth="true" hidden="false" outlineLevel="0" max="2" min="2" style="42" width="30.91"/>
    <col collapsed="false" customWidth="true" hidden="false" outlineLevel="0" max="3" min="3" style="42" width="9.88"/>
    <col collapsed="false" customWidth="true" hidden="false" outlineLevel="0" max="4" min="4" style="42" width="10.51"/>
    <col collapsed="false" customWidth="true" hidden="false" outlineLevel="0" max="5" min="5" style="42" width="12.08"/>
    <col collapsed="false" customWidth="true" hidden="false" outlineLevel="0" max="6" min="6" style="42" width="11.76"/>
    <col collapsed="false" customWidth="true" hidden="false" outlineLevel="0" max="7" min="7" style="42" width="10.2"/>
    <col collapsed="false" customWidth="true" hidden="false" outlineLevel="0" max="8" min="8" style="42" width="5.1"/>
    <col collapsed="false" customWidth="true" hidden="false" outlineLevel="0" max="9" min="9" style="42" width="10.2"/>
    <col collapsed="false" customWidth="true" hidden="false" outlineLevel="0" max="10" min="10" style="42" width="5.1"/>
    <col collapsed="false" customWidth="true" hidden="false" outlineLevel="0" max="11" min="11" style="42" width="10.2"/>
    <col collapsed="false" customWidth="true" hidden="false" outlineLevel="0" max="12" min="12" style="42" width="5.1"/>
    <col collapsed="false" customWidth="true" hidden="false" outlineLevel="0" max="13" min="13" style="42" width="10.2"/>
    <col collapsed="false" customWidth="true" hidden="false" outlineLevel="0" max="14" min="14" style="42" width="5.1"/>
    <col collapsed="false" customWidth="true" hidden="false" outlineLevel="0" max="15" min="15" style="42" width="10.2"/>
    <col collapsed="false" customWidth="true" hidden="false" outlineLevel="0" max="16" min="16" style="42" width="5.1"/>
    <col collapsed="false" customWidth="true" hidden="false" outlineLevel="0" max="17" min="17" style="42" width="10.2"/>
    <col collapsed="false" customWidth="true" hidden="false" outlineLevel="0" max="18" min="18" style="42" width="5.1"/>
    <col collapsed="false" customWidth="true" hidden="false" outlineLevel="0" max="19" min="19" style="105" width="4.08"/>
    <col collapsed="false" customWidth="true" hidden="false" outlineLevel="0" max="1025" min="20" style="42" width="13.38"/>
  </cols>
  <sheetData>
    <row r="1" customFormat="false" ht="26.55" hidden="false" customHeight="false" outlineLevel="0" collapsed="false">
      <c r="B1" s="197" t="s">
        <v>151</v>
      </c>
      <c r="C1" s="198" t="str">
        <f aca="false">'Set up'!D4</f>
        <v>Farm A</v>
      </c>
      <c r="D1" s="199"/>
      <c r="E1" s="200"/>
      <c r="F1" s="200" t="s">
        <v>152</v>
      </c>
      <c r="G1" s="201" t="n">
        <v>8</v>
      </c>
      <c r="H1" s="202"/>
      <c r="I1" s="44"/>
      <c r="J1" s="44"/>
      <c r="M1" s="203" t="s">
        <v>153</v>
      </c>
      <c r="N1" s="105"/>
      <c r="O1" s="47"/>
      <c r="P1" s="47"/>
      <c r="S1" s="52"/>
    </row>
    <row r="2" customFormat="false" ht="32.35" hidden="false" customHeight="false" outlineLevel="0" collapsed="false">
      <c r="B2" s="430" t="s">
        <v>2</v>
      </c>
      <c r="C2" s="198"/>
      <c r="D2" s="199"/>
      <c r="E2" s="205"/>
      <c r="F2" s="206" t="s">
        <v>154</v>
      </c>
      <c r="I2" s="56"/>
      <c r="J2" s="56"/>
      <c r="K2" s="207"/>
      <c r="L2" s="207"/>
      <c r="M2" s="44"/>
      <c r="N2" s="44"/>
      <c r="O2" s="47"/>
      <c r="P2" s="47"/>
      <c r="S2" s="52"/>
    </row>
    <row r="3" s="42" customFormat="true" ht="26.45" hidden="false" customHeight="false" outlineLevel="0" collapsed="false">
      <c r="B3" s="208" t="s">
        <v>155</v>
      </c>
      <c r="D3" s="56"/>
      <c r="I3" s="209" t="s">
        <v>156</v>
      </c>
      <c r="J3" s="210"/>
    </row>
    <row r="4" s="42" customFormat="true" ht="14.65" hidden="false" customHeight="false" outlineLevel="0" collapsed="false">
      <c r="B4" s="211" t="s">
        <v>157</v>
      </c>
      <c r="C4" s="212" t="n">
        <f aca="false">HLOOKUP($G$1,'Set up'!$D$12:$O$15,3,0)</f>
        <v>43405</v>
      </c>
      <c r="D4" s="213"/>
      <c r="F4" s="214"/>
      <c r="G4" s="215" t="s">
        <v>158</v>
      </c>
      <c r="H4" s="216"/>
      <c r="I4" s="217" t="s">
        <v>159</v>
      </c>
      <c r="J4" s="216"/>
      <c r="K4" s="218" t="s">
        <v>160</v>
      </c>
      <c r="L4" s="219"/>
      <c r="M4" s="220" t="s">
        <v>161</v>
      </c>
      <c r="N4" s="221"/>
      <c r="O4" s="105"/>
      <c r="P4" s="222"/>
      <c r="Q4" s="105"/>
      <c r="R4" s="105"/>
    </row>
    <row r="5" s="42" customFormat="true" ht="14.65" hidden="false" customHeight="false" outlineLevel="0" collapsed="false">
      <c r="B5" s="223" t="s">
        <v>162</v>
      </c>
      <c r="C5" s="224" t="n">
        <f aca="false">HLOOKUP($G$1,'Set up'!$D$12:$O$15,4,0)</f>
        <v>30</v>
      </c>
      <c r="D5" s="199"/>
      <c r="F5" s="222" t="s">
        <v>163</v>
      </c>
      <c r="G5" s="225" t="s">
        <v>164</v>
      </c>
      <c r="H5" s="226"/>
      <c r="I5" s="227" t="s">
        <v>165</v>
      </c>
      <c r="J5" s="227"/>
      <c r="K5" s="228" t="s">
        <v>165</v>
      </c>
      <c r="L5" s="229"/>
      <c r="M5" s="230" t="s">
        <v>164</v>
      </c>
      <c r="N5" s="231"/>
      <c r="O5" s="222"/>
      <c r="P5" s="222"/>
      <c r="Q5" s="105"/>
      <c r="R5" s="232"/>
    </row>
    <row r="6" s="42" customFormat="true" ht="14.65" hidden="false" customHeight="false" outlineLevel="0" collapsed="false">
      <c r="B6" s="233" t="s">
        <v>166</v>
      </c>
      <c r="C6" s="234" t="n">
        <f aca="false">C4+C5</f>
        <v>43435</v>
      </c>
      <c r="D6" s="199"/>
      <c r="F6" s="235" t="s">
        <v>131</v>
      </c>
      <c r="G6" s="236" t="n">
        <f aca="false">IF($G$1=1, VLOOKUP(F6,'Set up'!$A$50:$D$54,3,0),VLOOKUP(F6,'Set up'!$A$50:$O$54,$G$1+2,0))</f>
        <v>17952.9411764706</v>
      </c>
      <c r="H6" s="237"/>
      <c r="I6" s="238" t="n">
        <f aca="false">(($D$17*I$17*$C$5)+($D$18*I$18*$C$5)+($D$19*I$19*$C$5)+($D$20*I$20*$C$5)+($D$21*I$21*$C$5)+($D$22*I$22*$C$5)+($D$23*I$23*$C$5))*(100/VLOOKUP(F6,'Set up'!$A$50:$C$54,2,0))</f>
        <v>0</v>
      </c>
      <c r="J6" s="239"/>
      <c r="K6" s="240" t="n">
        <v>0</v>
      </c>
      <c r="L6" s="237"/>
      <c r="M6" s="241" t="n">
        <f aca="false">G6-I6+K6</f>
        <v>17952.9411764706</v>
      </c>
      <c r="N6" s="242"/>
      <c r="O6" s="44"/>
      <c r="P6" s="44"/>
      <c r="Q6" s="105"/>
      <c r="R6" s="243"/>
    </row>
    <row r="7" s="42" customFormat="true" ht="14.65" hidden="false" customHeight="false" outlineLevel="0" collapsed="false">
      <c r="B7" s="244"/>
      <c r="C7" s="213"/>
      <c r="F7" s="245" t="s">
        <v>129</v>
      </c>
      <c r="G7" s="246" t="n">
        <f aca="false">IF($G$1=1, VLOOKUP(F7,'Set up'!$A$50:$D$54,3,0),VLOOKUP(F7,'Set up'!$A$50:$O$54,$G$1+2,0))</f>
        <v>38706.6666666667</v>
      </c>
      <c r="H7" s="247"/>
      <c r="I7" s="248" t="n">
        <f aca="false">((($D$17*K$17*$C$5)+($D$18*K$18*$C$5)+($D$19*K$19*$C$5)+($D$20*K$20*$C$5)+($D$21*K$21*$C$5)+($D$22*K$22*$C$5)+($D$23*K$23*$C$5)))*(100/VLOOKUP(F7,'Set up'!$A$50:$C$54,2,0))</f>
        <v>16000</v>
      </c>
      <c r="J7" s="249"/>
      <c r="K7" s="250" t="n">
        <v>34000</v>
      </c>
      <c r="L7" s="247"/>
      <c r="M7" s="251" t="n">
        <f aca="false">G7-I7+K7</f>
        <v>56706.6666666667</v>
      </c>
      <c r="N7" s="252"/>
      <c r="O7" s="44"/>
      <c r="P7" s="44"/>
      <c r="Q7" s="105"/>
      <c r="R7" s="243"/>
    </row>
    <row r="8" s="42" customFormat="true" ht="14.65" hidden="false" customHeight="false" outlineLevel="0" collapsed="false">
      <c r="B8" s="253" t="s">
        <v>167</v>
      </c>
      <c r="C8" s="254" t="n">
        <f aca="false">'Set up'!D7</f>
        <v>100</v>
      </c>
      <c r="D8" s="255" t="s">
        <v>168</v>
      </c>
      <c r="F8" s="256" t="s">
        <v>130</v>
      </c>
      <c r="G8" s="236" t="n">
        <f aca="false">IF($G$1=1, VLOOKUP(F8,'Set up'!$A$50:$D$54,3,0),VLOOKUP(F8,'Set up'!$A$50:$O$54,$G$1+2,0))</f>
        <v>0</v>
      </c>
      <c r="H8" s="257"/>
      <c r="I8" s="258" t="n">
        <f aca="false">(($D$17*M$17*$C$5)+($D$18*M$18*$C$5)+($D$19*M$19*$C$5)+($D$20*M$20*$C$5)+($D$21*M$21*$C$5)+($D$22*M$22*$C$5)+($D$23*M$23*$C$5))*(100/VLOOKUP(F8,'Set up'!$A$50:$C$54,2,0))</f>
        <v>0</v>
      </c>
      <c r="J8" s="259"/>
      <c r="K8" s="260" t="n">
        <v>0</v>
      </c>
      <c r="L8" s="257"/>
      <c r="M8" s="241" t="n">
        <f aca="false">G8-I8+K8</f>
        <v>0</v>
      </c>
      <c r="N8" s="261"/>
      <c r="O8" s="44"/>
      <c r="P8" s="44"/>
      <c r="Q8" s="105"/>
      <c r="R8" s="243"/>
      <c r="T8" s="262"/>
    </row>
    <row r="9" s="42" customFormat="true" ht="14.65" hidden="false" customHeight="false" outlineLevel="0" collapsed="false">
      <c r="B9" s="263" t="s">
        <v>169</v>
      </c>
      <c r="C9" s="264" t="n">
        <v>0</v>
      </c>
      <c r="D9" s="265" t="n">
        <f aca="true">IF($G$1&lt;&gt;1,INDIRECT("period"&amp;$G$1-1&amp;"!c9"),0)</f>
        <v>0</v>
      </c>
      <c r="F9" s="245" t="s">
        <v>132</v>
      </c>
      <c r="G9" s="246" t="n">
        <f aca="false">IF($G$1=1, VLOOKUP(F9,'Set up'!$A$50:$D$54,3,0),VLOOKUP(F9,'Set up'!$A$50:$O$54,$G$1+2,0))</f>
        <v>0</v>
      </c>
      <c r="H9" s="247"/>
      <c r="I9" s="248" t="n">
        <f aca="false">(($D$17*O$17*$C$5)+($D$18*O$18*$C$5)+($D$19*O$19*$C$5)+($D$20*O$20*$C$5)+($D$21*O$21*$C$5)+($D$22*O$22*$C$5)+($D$23*O$23*$C$5))*(100/VLOOKUP(F9,'Set up'!$A$50:$C$54,2,0))</f>
        <v>0</v>
      </c>
      <c r="J9" s="249"/>
      <c r="K9" s="250" t="n">
        <v>0</v>
      </c>
      <c r="L9" s="247"/>
      <c r="M9" s="251" t="n">
        <f aca="false">G9-I9+K9</f>
        <v>0</v>
      </c>
      <c r="N9" s="252"/>
      <c r="O9" s="44"/>
      <c r="P9" s="44"/>
      <c r="Q9" s="105"/>
      <c r="R9" s="243"/>
    </row>
    <row r="10" s="42" customFormat="true" ht="14.65" hidden="false" customHeight="false" outlineLevel="0" collapsed="false">
      <c r="B10" s="263" t="s">
        <v>170</v>
      </c>
      <c r="C10" s="266" t="n">
        <v>20</v>
      </c>
      <c r="D10" s="265" t="n">
        <f aca="true">IF($G$1&lt;&gt;1,INDIRECT("period"&amp;$G$1-1&amp;"!c10"),0)</f>
        <v>10</v>
      </c>
      <c r="F10" s="267" t="s">
        <v>133</v>
      </c>
      <c r="G10" s="268" t="n">
        <f aca="false">IF($G$1=1, VLOOKUP(F10,'Set up'!$A$50:$D$54,3,0),VLOOKUP(F10,'Set up'!$A$50:$O$54,$G$1+2,0))</f>
        <v>831.578947368422</v>
      </c>
      <c r="H10" s="269"/>
      <c r="I10" s="270" t="n">
        <f aca="false">(($D$17*Q$17*$C$5)+($D$18*Q$18*$C$5)+($D$19*Q$19*$C$5)+($D$20*Q$20*$C$5)+($D$21*Q$21*$C$5)+($D$22*Q$22*$C$5)+($D$23*Q$23*$C$5))*(100/VLOOKUP(F10,'Set up'!$A$50:$C$54,2,0))</f>
        <v>0</v>
      </c>
      <c r="J10" s="271"/>
      <c r="K10" s="272" t="n">
        <v>0</v>
      </c>
      <c r="L10" s="269"/>
      <c r="M10" s="273" t="n">
        <f aca="false">G10-I10+K10</f>
        <v>831.578947368422</v>
      </c>
      <c r="N10" s="274"/>
      <c r="O10" s="44"/>
      <c r="P10" s="44"/>
      <c r="Q10" s="105"/>
      <c r="R10" s="243"/>
    </row>
    <row r="11" s="42" customFormat="true" ht="14.65" hidden="false" customHeight="false" outlineLevel="0" collapsed="false">
      <c r="B11" s="275" t="s">
        <v>171</v>
      </c>
      <c r="C11" s="276" t="n">
        <f aca="false">C8-C9-C10</f>
        <v>80</v>
      </c>
      <c r="D11" s="265" t="n">
        <f aca="true">IF($G$1&lt;&gt;1,INDIRECT("period"&amp;$G$1-1&amp;"!c11"),0)</f>
        <v>90</v>
      </c>
      <c r="F11" s="42" t="s">
        <v>172</v>
      </c>
    </row>
    <row r="12" s="42" customFormat="true" ht="14.65" hidden="false" customHeight="false" outlineLevel="0" collapsed="false">
      <c r="A12" s="44"/>
      <c r="B12" s="277" t="s">
        <v>173</v>
      </c>
      <c r="C12" s="278" t="n">
        <f aca="false">INDEX('Set up'!D30:O30,1,G1)</f>
        <v>70</v>
      </c>
      <c r="D12" s="279" t="s">
        <v>174</v>
      </c>
      <c r="E12" s="44"/>
      <c r="F12" s="105" t="s">
        <v>175</v>
      </c>
      <c r="G12" s="105"/>
      <c r="H12" s="105"/>
      <c r="I12" s="105"/>
      <c r="J12" s="105"/>
    </row>
    <row r="13" s="42" customFormat="true" ht="14.65" hidden="false" customHeight="false" outlineLevel="0" collapsed="false">
      <c r="B13" s="2"/>
      <c r="C13" s="2"/>
      <c r="D13" s="2"/>
    </row>
    <row r="14" s="42" customFormat="true" ht="14.65" hidden="false" customHeight="false" outlineLevel="0" collapsed="false">
      <c r="B14" s="2"/>
      <c r="C14" s="2"/>
      <c r="D14" s="2"/>
      <c r="F14" s="280"/>
    </row>
    <row r="15" s="42" customFormat="true" ht="57.25" hidden="false" customHeight="true" outlineLevel="0" collapsed="false">
      <c r="B15" s="208" t="s">
        <v>176</v>
      </c>
      <c r="C15" s="281"/>
      <c r="D15" s="282"/>
      <c r="G15" s="283" t="s">
        <v>177</v>
      </c>
      <c r="N15" s="284"/>
      <c r="Y15" s="285"/>
      <c r="Z15" s="285"/>
      <c r="AA15" s="285"/>
      <c r="AB15" s="285"/>
      <c r="AC15" s="285"/>
      <c r="AD15" s="285"/>
    </row>
    <row r="16" customFormat="false" ht="47.7" hidden="false" customHeight="true" outlineLevel="0" collapsed="false">
      <c r="B16" s="286" t="s">
        <v>178</v>
      </c>
      <c r="C16" s="287" t="s">
        <v>179</v>
      </c>
      <c r="D16" s="288" t="s">
        <v>180</v>
      </c>
      <c r="E16" s="289" t="s">
        <v>181</v>
      </c>
      <c r="F16" s="290" t="s">
        <v>182</v>
      </c>
      <c r="G16" s="291" t="s">
        <v>123</v>
      </c>
      <c r="H16" s="292" t="s">
        <v>183</v>
      </c>
      <c r="I16" s="293" t="str">
        <f aca="false">F6</f>
        <v>Meadow Hay</v>
      </c>
      <c r="J16" s="294" t="s">
        <v>183</v>
      </c>
      <c r="K16" s="295" t="str">
        <f aca="false">F7</f>
        <v>Pasture Silage</v>
      </c>
      <c r="L16" s="292" t="s">
        <v>183</v>
      </c>
      <c r="M16" s="293" t="str">
        <f aca="false">F8</f>
        <v>Maize Silage</v>
      </c>
      <c r="N16" s="294" t="s">
        <v>183</v>
      </c>
      <c r="O16" s="295" t="str">
        <f aca="false">F9</f>
        <v>Crop</v>
      </c>
      <c r="P16" s="292" t="s">
        <v>183</v>
      </c>
      <c r="Q16" s="293" t="str">
        <f aca="false">F10</f>
        <v>Meal</v>
      </c>
      <c r="R16" s="294" t="s">
        <v>183</v>
      </c>
      <c r="S16" s="296"/>
    </row>
    <row r="17" customFormat="false" ht="14.65" hidden="false" customHeight="false" outlineLevel="0" collapsed="false">
      <c r="B17" s="297" t="s">
        <v>138</v>
      </c>
      <c r="C17" s="298" t="n">
        <f aca="false">VLOOKUP(B17,'Set up'!$B$62:$O$89,2+$G$1,FALSE())</f>
        <v>250</v>
      </c>
      <c r="D17" s="299" t="n">
        <v>200</v>
      </c>
      <c r="E17" s="300" t="str">
        <f aca="false">TRIM(CLEAN(INDEX('Set up'!$D$63:$O$87,MATCH(B17,'Set up'!$B$62:$B$89,0),+$G$1)))</f>
        <v>16</v>
      </c>
      <c r="F17" s="301" t="n">
        <f aca="false">G17+I17+K17+M17+O17+Q17</f>
        <v>18</v>
      </c>
      <c r="G17" s="302" t="n">
        <v>16</v>
      </c>
      <c r="H17" s="303" t="n">
        <f aca="true">IF($G$1&lt;&gt;1,INDIRECT("period"&amp;$G$1-1&amp;"!G17"),0)</f>
        <v>14</v>
      </c>
      <c r="I17" s="302" t="n">
        <v>0</v>
      </c>
      <c r="J17" s="303" t="n">
        <f aca="true">IF($G$1&lt;&gt;1,INDIRECT("period"&amp;$G$1-1&amp;"!I17"),0)</f>
        <v>0</v>
      </c>
      <c r="K17" s="302" t="n">
        <v>2</v>
      </c>
      <c r="L17" s="303" t="n">
        <f aca="true">IF($G$1&lt;&gt;1,INDIRECT("period"&amp;$G$1-1&amp;"!K17"),0)</f>
        <v>2</v>
      </c>
      <c r="M17" s="302" t="n">
        <v>0</v>
      </c>
      <c r="N17" s="303" t="n">
        <f aca="true">IF($G$1&lt;&gt;1,INDIRECT("period"&amp;$G$1-1&amp;"!M17"),0)</f>
        <v>0</v>
      </c>
      <c r="O17" s="302" t="n">
        <v>0</v>
      </c>
      <c r="P17" s="303" t="n">
        <f aca="true">IF($G$1&lt;&gt;1,INDIRECT("period"&amp;$G$1-1&amp;"!O17"),0)</f>
        <v>0</v>
      </c>
      <c r="Q17" s="304" t="n">
        <v>0</v>
      </c>
      <c r="R17" s="305" t="n">
        <f aca="true">IF($G$1&lt;&gt;1,INDIRECT("period"&amp;$G$1-1&amp;"!Q17"),0)</f>
        <v>1</v>
      </c>
      <c r="S17" s="306"/>
    </row>
    <row r="18" customFormat="false" ht="14.65" hidden="false" customHeight="false" outlineLevel="0" collapsed="false">
      <c r="B18" s="307" t="s">
        <v>142</v>
      </c>
      <c r="C18" s="308" t="n">
        <f aca="false">VLOOKUP(B18,'Set up'!$B$62:$O$89,2+$G$1,FALSE())</f>
        <v>0</v>
      </c>
      <c r="D18" s="309" t="n">
        <v>0</v>
      </c>
      <c r="E18" s="310" t="str">
        <f aca="false">TRIM(CLEAN(INDEX('Set up'!$D$63:$O$87,MATCH(B18,'Set up'!$B$62:$B$89,0),+$G$1)))</f>
        <v>0</v>
      </c>
      <c r="F18" s="311" t="n">
        <f aca="false">G18+I18+K18+M18+O18+Q18</f>
        <v>0</v>
      </c>
      <c r="G18" s="312" t="n">
        <v>0</v>
      </c>
      <c r="H18" s="313" t="n">
        <f aca="true">IF($G$1&lt;&gt;1,INDIRECT("period"&amp;$G$1-1&amp;"!G18"),0)</f>
        <v>0</v>
      </c>
      <c r="I18" s="312" t="n">
        <v>0</v>
      </c>
      <c r="J18" s="313" t="n">
        <f aca="true">IF($G$1&lt;&gt;1,INDIRECT("period"&amp;$G$1-1&amp;"!I18"),0)</f>
        <v>0</v>
      </c>
      <c r="K18" s="312" t="n">
        <v>0</v>
      </c>
      <c r="L18" s="313" t="n">
        <f aca="true">IF($G$1&lt;&gt;1,INDIRECT("period"&amp;$G$1-1&amp;"!K18"),0)</f>
        <v>0</v>
      </c>
      <c r="M18" s="312" t="n">
        <v>0</v>
      </c>
      <c r="N18" s="313" t="n">
        <f aca="true">IF($G$1&lt;&gt;1,INDIRECT("period"&amp;$G$1-1&amp;"!M18"),0)</f>
        <v>0</v>
      </c>
      <c r="O18" s="312" t="n">
        <v>0</v>
      </c>
      <c r="P18" s="313" t="n">
        <f aca="true">IF($G$1&lt;&gt;1,INDIRECT("period"&amp;$G$1-1&amp;"!O18"),0)</f>
        <v>0</v>
      </c>
      <c r="Q18" s="312" t="n">
        <v>0</v>
      </c>
      <c r="R18" s="313" t="n">
        <f aca="true">IF($G$1&lt;&gt;1,INDIRECT("period"&amp;$G$1-1&amp;"!Q18"),0)</f>
        <v>0</v>
      </c>
      <c r="S18" s="306"/>
    </row>
    <row r="19" customFormat="false" ht="14.65" hidden="false" customHeight="false" outlineLevel="0" collapsed="false">
      <c r="B19" s="314" t="s">
        <v>143</v>
      </c>
      <c r="C19" s="308" t="n">
        <f aca="false">VLOOKUP(B19,'Set up'!$B$62:$O$89,2+$G$1,FALSE())</f>
        <v>0</v>
      </c>
      <c r="D19" s="315" t="n">
        <v>0</v>
      </c>
      <c r="E19" s="316" t="str">
        <f aca="false">TRIM(CLEAN(INDEX('Set up'!$D$63:$O$87,MATCH(B19,'Set up'!$B$62:$B$89,0),+$G$1)))</f>
        <v>0</v>
      </c>
      <c r="F19" s="317" t="n">
        <f aca="false">G19+I19+K19+M19+O19+Q19</f>
        <v>0</v>
      </c>
      <c r="G19" s="304" t="n">
        <v>0</v>
      </c>
      <c r="H19" s="305" t="n">
        <f aca="true">IF($G$1&lt;&gt;1,INDIRECT("period"&amp;$G$1-1&amp;"!G19"),0)</f>
        <v>0</v>
      </c>
      <c r="I19" s="304" t="n">
        <v>0</v>
      </c>
      <c r="J19" s="305" t="n">
        <f aca="true">IF($G$1&lt;&gt;1,INDIRECT("period"&amp;$G$1-1&amp;"!I19"),0)</f>
        <v>0</v>
      </c>
      <c r="K19" s="304" t="n">
        <v>0</v>
      </c>
      <c r="L19" s="305" t="n">
        <f aca="true">IF($G$1&lt;&gt;1,INDIRECT("period"&amp;$G$1-1&amp;"!K19"),0)</f>
        <v>0</v>
      </c>
      <c r="M19" s="304" t="n">
        <v>0</v>
      </c>
      <c r="N19" s="305" t="n">
        <f aca="true">IF($G$1&lt;&gt;1,INDIRECT("period"&amp;$G$1-1&amp;"!G19"),0)</f>
        <v>0</v>
      </c>
      <c r="O19" s="304" t="n">
        <v>0</v>
      </c>
      <c r="P19" s="305" t="n">
        <f aca="true">IF($G$1&lt;&gt;1,INDIRECT("period"&amp;$G$1-1&amp;"!O19"),0)</f>
        <v>0</v>
      </c>
      <c r="Q19" s="304" t="n">
        <v>0</v>
      </c>
      <c r="R19" s="305" t="n">
        <f aca="true">IF($G$1&lt;&gt;1,INDIRECT("period"&amp;$G$1-1&amp;"!Q19"),0)</f>
        <v>0</v>
      </c>
      <c r="S19" s="306"/>
    </row>
    <row r="20" customFormat="false" ht="14.65" hidden="false" customHeight="false" outlineLevel="0" collapsed="false">
      <c r="B20" s="307" t="s">
        <v>144</v>
      </c>
      <c r="C20" s="308" t="n">
        <f aca="false">VLOOKUP(B20,'Set up'!$B$62:$O$89,2+$G$1,FALSE())</f>
        <v>50</v>
      </c>
      <c r="D20" s="318" t="n">
        <v>50</v>
      </c>
      <c r="E20" s="310" t="str">
        <f aca="false">TRIM(CLEAN(INDEX('Set up'!$D$63:$O$87,MATCH(B20,'Set up'!$B$62:$B$89,0),+$G$1)))</f>
        <v>7</v>
      </c>
      <c r="F20" s="311" t="n">
        <f aca="false">G20+I20+K20+M20+O20+Q20</f>
        <v>7</v>
      </c>
      <c r="G20" s="312" t="n">
        <v>7</v>
      </c>
      <c r="H20" s="313" t="n">
        <f aca="true">IF($G$1&lt;&gt;1,INDIRECT("period"&amp;$G$1-1&amp;"!G20"),0)</f>
        <v>7</v>
      </c>
      <c r="I20" s="312" t="n">
        <v>0</v>
      </c>
      <c r="J20" s="313" t="n">
        <f aca="true">IF($G$1&lt;&gt;1,INDIRECT("period"&amp;$G$1-1&amp;"!I27"),0)</f>
        <v>0</v>
      </c>
      <c r="K20" s="312" t="n">
        <v>0</v>
      </c>
      <c r="L20" s="313" t="n">
        <f aca="true">IF($G$1&lt;&gt;1,INDIRECT("period"&amp;$G$1-1&amp;"!K20"),0)</f>
        <v>0</v>
      </c>
      <c r="M20" s="312" t="n">
        <v>0</v>
      </c>
      <c r="N20" s="313" t="n">
        <f aca="true">IF($G$1&lt;&gt;1,INDIRECT("period"&amp;$G$1-1&amp;"!M20"),0)</f>
        <v>0</v>
      </c>
      <c r="O20" s="312" t="n">
        <v>0</v>
      </c>
      <c r="P20" s="313" t="n">
        <f aca="true">IF($G$1&lt;&gt;1,INDIRECT("period"&amp;$G$1-1&amp;"!O20"),0)</f>
        <v>0</v>
      </c>
      <c r="Q20" s="312" t="n">
        <v>0</v>
      </c>
      <c r="R20" s="313" t="n">
        <f aca="true">IF($G$1&lt;&gt;1,INDIRECT("period"&amp;$G$1-1&amp;"!Q20"),0)</f>
        <v>0</v>
      </c>
      <c r="S20" s="306"/>
    </row>
    <row r="21" customFormat="false" ht="14.65" hidden="false" customHeight="false" outlineLevel="0" collapsed="false">
      <c r="B21" s="314" t="s">
        <v>145</v>
      </c>
      <c r="C21" s="308" t="n">
        <f aca="false">VLOOKUP(B21,'Set up'!$B$62:$O$89,2+$G$1,FALSE())</f>
        <v>50</v>
      </c>
      <c r="D21" s="315" t="n">
        <v>50</v>
      </c>
      <c r="E21" s="316" t="str">
        <f aca="false">TRIM(CLEAN(INDEX('Set up'!$D$63:$O$87,MATCH(B21,'Set up'!$B$62:$B$89,0),+$G$1)))</f>
        <v>4</v>
      </c>
      <c r="F21" s="317" t="n">
        <f aca="false">G21+I21+K21+M21+O21+Q21</f>
        <v>4</v>
      </c>
      <c r="G21" s="304" t="n">
        <v>4</v>
      </c>
      <c r="H21" s="305" t="n">
        <f aca="true">IF($G$1&lt;&gt;1,INDIRECT("period"&amp;$G$1-1&amp;"!G21"),0)</f>
        <v>4</v>
      </c>
      <c r="I21" s="304" t="n">
        <v>0</v>
      </c>
      <c r="J21" s="305" t="n">
        <f aca="true">IF($G$1&lt;&gt;1,INDIRECT("period"&amp;$G$1-1&amp;"!I21"),0)</f>
        <v>0</v>
      </c>
      <c r="K21" s="304" t="n">
        <v>0</v>
      </c>
      <c r="L21" s="305" t="n">
        <f aca="true">IF($G$1&lt;&gt;1,INDIRECT("period"&amp;$G$1-1&amp;"!K21"),0)</f>
        <v>0</v>
      </c>
      <c r="M21" s="304" t="n">
        <v>0</v>
      </c>
      <c r="N21" s="305" t="n">
        <f aca="true">IF($G$1&lt;&gt;1,INDIRECT("period"&amp;$G$1-1&amp;"!M21"),0)</f>
        <v>0</v>
      </c>
      <c r="O21" s="304" t="n">
        <v>0</v>
      </c>
      <c r="P21" s="305" t="n">
        <f aca="true">IF($G$1&lt;&gt;1,INDIRECT("period"&amp;$G$1-1&amp;"!O21"),0)</f>
        <v>0</v>
      </c>
      <c r="Q21" s="304" t="n">
        <v>0</v>
      </c>
      <c r="R21" s="305" t="n">
        <f aca="true">IF($G$1&lt;&gt;1,INDIRECT("period"&amp;$G$1-1&amp;"!Q21"),0)</f>
        <v>0</v>
      </c>
      <c r="S21" s="319"/>
    </row>
    <row r="22" customFormat="false" ht="14.65" hidden="false" customHeight="false" outlineLevel="0" collapsed="false">
      <c r="B22" s="307" t="s">
        <v>147</v>
      </c>
      <c r="C22" s="308" t="n">
        <f aca="false">VLOOKUP(B22,'Set up'!$B$62:$O$89,2+$G$1,FALSE())</f>
        <v>0</v>
      </c>
      <c r="D22" s="318" t="n">
        <v>0</v>
      </c>
      <c r="E22" s="310" t="str">
        <f aca="false">TRIM(CLEAN(INDEX('Set up'!$D$63:$O$87,MATCH(B22,'Set up'!$B$62:$B$89,0),+$G$1)))</f>
        <v>0</v>
      </c>
      <c r="F22" s="311" t="n">
        <f aca="false">G22+I22+K22+M22+O22+Q22</f>
        <v>0</v>
      </c>
      <c r="G22" s="312" t="n">
        <v>0</v>
      </c>
      <c r="H22" s="313" t="n">
        <f aca="true">IF($G$1&lt;&gt;1,INDIRECT("period"&amp;$G$1-1&amp;"!G22"),0)</f>
        <v>0</v>
      </c>
      <c r="I22" s="312" t="n">
        <v>0</v>
      </c>
      <c r="J22" s="313" t="n">
        <f aca="true">IF($G$1&lt;&gt;1,INDIRECT("period"&amp;$G$1-1&amp;"!i22"),0)</f>
        <v>0</v>
      </c>
      <c r="K22" s="312" t="n">
        <v>0</v>
      </c>
      <c r="L22" s="313" t="n">
        <f aca="true">IF($G$1&lt;&gt;1,INDIRECT("period"&amp;$G$1-1&amp;"!G22"),0)</f>
        <v>0</v>
      </c>
      <c r="M22" s="312" t="n">
        <v>0</v>
      </c>
      <c r="N22" s="313" t="n">
        <f aca="true">IF($G$1&lt;&gt;1,INDIRECT("period"&amp;$G$1-1&amp;"!M22"),0)</f>
        <v>0</v>
      </c>
      <c r="O22" s="312" t="n">
        <v>0</v>
      </c>
      <c r="P22" s="313" t="n">
        <f aca="true">IF($G$1&lt;&gt;1,INDIRECT("period"&amp;$G$1-1&amp;"!O22"),0)</f>
        <v>0</v>
      </c>
      <c r="Q22" s="312" t="n">
        <v>0</v>
      </c>
      <c r="R22" s="313" t="n">
        <f aca="true">IF($G$1&lt;&gt;1,INDIRECT("period"&amp;$G$1-1&amp;"!Q22"),0)</f>
        <v>0</v>
      </c>
      <c r="S22" s="306"/>
    </row>
    <row r="23" customFormat="false" ht="14.65" hidden="false" customHeight="false" outlineLevel="0" collapsed="false">
      <c r="B23" s="320" t="s">
        <v>146</v>
      </c>
      <c r="C23" s="321" t="n">
        <f aca="false">VLOOKUP(B23,'Set up'!$B$62:$O$89,2+$G$1,FALSE())</f>
        <v>0</v>
      </c>
      <c r="D23" s="322" t="n">
        <v>0</v>
      </c>
      <c r="E23" s="323" t="str">
        <f aca="false">TRIM(CLEAN(INDEX('Set up'!$D$63:$O$87,MATCH(B23,'Set up'!$B$62:$B$89,0),+$G$1)))</f>
        <v>0</v>
      </c>
      <c r="F23" s="324" t="n">
        <f aca="false">G23+I23+K23+M23+O23+Q23</f>
        <v>0</v>
      </c>
      <c r="G23" s="325" t="n">
        <v>0</v>
      </c>
      <c r="H23" s="326" t="n">
        <f aca="true">IF($G$1&lt;&gt;1,INDIRECT("period"&amp;$G$1-1&amp;"!G23"),0)</f>
        <v>0</v>
      </c>
      <c r="I23" s="325" t="n">
        <v>0</v>
      </c>
      <c r="J23" s="326" t="n">
        <f aca="true">IF($G$1&lt;&gt;1,INDIRECT("period"&amp;$G$1-1&amp;"!I23"),0)</f>
        <v>0</v>
      </c>
      <c r="K23" s="325" t="n">
        <v>0</v>
      </c>
      <c r="L23" s="326" t="n">
        <f aca="true">IF($G$1&lt;&gt;1,INDIRECT("period"&amp;$G$1-1&amp;"!K23"),0)</f>
        <v>0</v>
      </c>
      <c r="M23" s="325" t="n">
        <v>0</v>
      </c>
      <c r="N23" s="326" t="n">
        <f aca="true">IF($G$1&lt;&gt;1,INDIRECT("period"&amp;$G$1-1&amp;"!M23"),0)</f>
        <v>0</v>
      </c>
      <c r="O23" s="325" t="n">
        <v>0</v>
      </c>
      <c r="P23" s="326" t="n">
        <f aca="true">IF($G$1&lt;&gt;1,INDIRECT("period"&amp;$G$1-1&amp;"!G23"),0)</f>
        <v>0</v>
      </c>
      <c r="Q23" s="325" t="n">
        <v>0</v>
      </c>
      <c r="R23" s="326" t="n">
        <f aca="true">IF($G$1&lt;&gt;1,INDIRECT("period"&amp;$G$1-1&amp;"!Q23"),0)</f>
        <v>0</v>
      </c>
      <c r="S23" s="306"/>
    </row>
    <row r="24" customFormat="false" ht="14.65" hidden="false" customHeight="false" outlineLevel="0" collapsed="false">
      <c r="B24" s="327" t="s">
        <v>184</v>
      </c>
      <c r="C24" s="328" t="n">
        <f aca="false">SUM(C17:C23)</f>
        <v>350</v>
      </c>
      <c r="D24" s="329" t="n">
        <f aca="false">SUM(D17:D23)</f>
        <v>300</v>
      </c>
      <c r="E24" s="330"/>
      <c r="F24" s="330"/>
      <c r="S24" s="331"/>
    </row>
    <row r="25" customFormat="false" ht="14.65" hidden="false" customHeight="false" outlineLevel="0" collapsed="false">
      <c r="B25" s="332"/>
      <c r="C25" s="333"/>
      <c r="D25" s="334"/>
      <c r="E25" s="330"/>
      <c r="F25" s="330"/>
      <c r="H25" s="335"/>
      <c r="I25" s="336"/>
      <c r="J25" s="337" t="s">
        <v>185</v>
      </c>
      <c r="K25" s="336"/>
      <c r="L25" s="336"/>
      <c r="M25" s="338"/>
      <c r="S25" s="331"/>
    </row>
    <row r="26" s="42" customFormat="true" ht="14.65" hidden="false" customHeight="false" outlineLevel="0" collapsed="false">
      <c r="H26" s="339"/>
      <c r="I26" s="340"/>
      <c r="J26" s="341" t="s">
        <v>186</v>
      </c>
      <c r="K26" s="342" t="n">
        <f aca="false">G46</f>
        <v>2968.55070949433</v>
      </c>
      <c r="L26" s="343" t="s">
        <v>174</v>
      </c>
      <c r="M26" s="344"/>
    </row>
    <row r="27" s="42" customFormat="true" ht="14.65" hidden="false" customHeight="false" outlineLevel="0" collapsed="false">
      <c r="H27" s="136"/>
      <c r="I27" s="346"/>
      <c r="J27" s="347" t="s">
        <v>187</v>
      </c>
      <c r="K27" s="348" t="str">
        <f aca="false">"("&amp;G47</f>
        <v>(2500</v>
      </c>
      <c r="L27" s="349" t="s">
        <v>188</v>
      </c>
      <c r="M27" s="350"/>
    </row>
    <row r="28" s="42" customFormat="true" ht="27.25" hidden="false" customHeight="false" outlineLevel="0" collapsed="false">
      <c r="B28" s="208" t="s">
        <v>189</v>
      </c>
      <c r="G28" s="351"/>
      <c r="H28" s="351"/>
      <c r="I28" s="352"/>
      <c r="J28" s="352"/>
      <c r="K28" s="353" t="s">
        <v>190</v>
      </c>
      <c r="L28" s="353"/>
      <c r="M28" s="352"/>
      <c r="N28" s="352"/>
      <c r="O28" s="352"/>
      <c r="P28" s="352"/>
      <c r="Q28" s="354"/>
      <c r="R28" s="354"/>
    </row>
    <row r="29" s="42" customFormat="true" ht="14.65" hidden="false" customHeight="false" outlineLevel="0" collapsed="false">
      <c r="B29" s="42" t="s">
        <v>191</v>
      </c>
      <c r="G29" s="355"/>
      <c r="H29" s="355"/>
      <c r="I29" s="356"/>
      <c r="J29" s="356"/>
      <c r="K29" s="357"/>
      <c r="L29" s="357"/>
      <c r="M29" s="356"/>
      <c r="N29" s="356"/>
      <c r="O29" s="356"/>
      <c r="P29" s="356"/>
      <c r="Q29" s="358"/>
      <c r="R29" s="358"/>
      <c r="T29" s="359"/>
    </row>
    <row r="30" s="42" customFormat="true" ht="23.85" hidden="false" customHeight="false" outlineLevel="0" collapsed="false">
      <c r="G30" s="360" t="s">
        <v>123</v>
      </c>
      <c r="H30" s="361"/>
      <c r="I30" s="362" t="str">
        <f aca="false">I16</f>
        <v>Meadow Hay</v>
      </c>
      <c r="J30" s="363"/>
      <c r="K30" s="364" t="str">
        <f aca="false">K16</f>
        <v>Pasture Silage</v>
      </c>
      <c r="L30" s="365"/>
      <c r="M30" s="362" t="str">
        <f aca="false">M16</f>
        <v>Maize Silage</v>
      </c>
      <c r="N30" s="363"/>
      <c r="O30" s="366" t="str">
        <f aca="false">O16</f>
        <v>Crop</v>
      </c>
      <c r="P30" s="365"/>
      <c r="Q30" s="362" t="str">
        <f aca="false">Q16</f>
        <v>Meal</v>
      </c>
      <c r="R30" s="363"/>
    </row>
    <row r="31" s="42" customFormat="true" ht="14.65" hidden="false" customHeight="false" outlineLevel="0" collapsed="false">
      <c r="E31" s="367" t="str">
        <f aca="false">B17</f>
        <v>Milking Cows Herd A</v>
      </c>
      <c r="F31" s="368"/>
      <c r="G31" s="369" t="n">
        <f aca="false">G17*(1/INDEX('Set up'!$D$45:$O$45,1,$G$1))</f>
        <v>18.8235294117647</v>
      </c>
      <c r="H31" s="370"/>
      <c r="I31" s="371" t="n">
        <f aca="false">I17*100/((VLOOKUP(I$16,'Set up'!$A$50:$B$54,2,0)))</f>
        <v>0</v>
      </c>
      <c r="J31" s="371"/>
      <c r="K31" s="369" t="n">
        <f aca="false">K17*100/((VLOOKUP(K$16,'Set up'!$A$50:$B$54,2,0)))</f>
        <v>2.66666666666667</v>
      </c>
      <c r="L31" s="370"/>
      <c r="M31" s="369" t="n">
        <f aca="false">M17*100/((VLOOKUP(M$16,'Set up'!$A$50:$B$54,2,0)))</f>
        <v>0</v>
      </c>
      <c r="N31" s="370"/>
      <c r="O31" s="369" t="n">
        <f aca="false">O17*100/((VLOOKUP(O$16,'Set up'!$A$50:$B$54,2,0)))</f>
        <v>0</v>
      </c>
      <c r="P31" s="370"/>
      <c r="Q31" s="369" t="n">
        <f aca="false">Q17*100/((VLOOKUP(Q$16,'Set up'!$A$50:$B$54,2,0)))</f>
        <v>0</v>
      </c>
      <c r="R31" s="370"/>
    </row>
    <row r="32" s="42" customFormat="true" ht="14.65" hidden="false" customHeight="false" outlineLevel="0" collapsed="false">
      <c r="E32" s="372" t="str">
        <f aca="false">B18</f>
        <v>Dry Fats</v>
      </c>
      <c r="F32" s="373"/>
      <c r="G32" s="374" t="n">
        <f aca="false">G18*(1/INDEX('Set up'!$D$45:$O$45,1,$G$1))</f>
        <v>0</v>
      </c>
      <c r="H32" s="375"/>
      <c r="I32" s="376" t="n">
        <f aca="false">I18*100/((VLOOKUP(I$16,'Set up'!$A$50:$B$54,2,0)))</f>
        <v>0</v>
      </c>
      <c r="J32" s="376"/>
      <c r="K32" s="377" t="n">
        <f aca="false">K18*100/((VLOOKUP(K$16,'Set up'!$A$50:$B$54,2,0)))</f>
        <v>0</v>
      </c>
      <c r="L32" s="378"/>
      <c r="M32" s="377" t="n">
        <f aca="false">M18*100/((VLOOKUP(M$16,'Set up'!$A$50:$B$54,2,0)))</f>
        <v>0</v>
      </c>
      <c r="N32" s="378"/>
      <c r="O32" s="377" t="n">
        <f aca="false">O18*100/((VLOOKUP(O$16,'Set up'!$A$50:$B$54,2,0)))</f>
        <v>0</v>
      </c>
      <c r="P32" s="378"/>
      <c r="Q32" s="377" t="n">
        <f aca="false">Q18*100/((VLOOKUP(Q$16,'Set up'!$A$50:$B$54,2,0)))</f>
        <v>0</v>
      </c>
      <c r="R32" s="378"/>
    </row>
    <row r="33" s="42" customFormat="true" ht="14.65" hidden="false" customHeight="false" outlineLevel="0" collapsed="false">
      <c r="E33" s="379" t="str">
        <f aca="false">B19</f>
        <v>Dry thins</v>
      </c>
      <c r="F33" s="380"/>
      <c r="G33" s="369" t="n">
        <f aca="false">G19*(1/INDEX('Set up'!$D$45:$O$45,1,$G$1))</f>
        <v>0</v>
      </c>
      <c r="H33" s="370"/>
      <c r="I33" s="371" t="n">
        <f aca="false">I19*100/((VLOOKUP(I$16,'Set up'!$A$50:$B$54,2,0)))</f>
        <v>0</v>
      </c>
      <c r="J33" s="371"/>
      <c r="K33" s="369" t="n">
        <f aca="false">K19*100/((VLOOKUP(K$16,'Set up'!$A$50:$B$54,2,0)))</f>
        <v>0</v>
      </c>
      <c r="L33" s="370"/>
      <c r="M33" s="369" t="n">
        <f aca="false">M19*100/((VLOOKUP(M$16,'Set up'!$A$50:$B$54,2,0)))</f>
        <v>0</v>
      </c>
      <c r="N33" s="370"/>
      <c r="O33" s="369" t="n">
        <f aca="false">O19*100/((VLOOKUP(O$16,'Set up'!$A$50:$B$54,2,0)))</f>
        <v>0</v>
      </c>
      <c r="P33" s="370"/>
      <c r="Q33" s="369" t="n">
        <f aca="false">Q19*100/((VLOOKUP(Q$16,'Set up'!$A$50:$B$54,2,0)))</f>
        <v>0</v>
      </c>
      <c r="R33" s="370"/>
    </row>
    <row r="34" s="42" customFormat="true" ht="14.65" hidden="false" customHeight="false" outlineLevel="0" collapsed="false">
      <c r="E34" s="372" t="str">
        <f aca="false">B20</f>
        <v>R 2yr heifers</v>
      </c>
      <c r="F34" s="373"/>
      <c r="G34" s="374" t="n">
        <f aca="false">G20*(1/INDEX('Set up'!$D$45:$O$45,1,$G$1))</f>
        <v>8.23529411764706</v>
      </c>
      <c r="H34" s="375"/>
      <c r="I34" s="381" t="n">
        <f aca="false">I20*100/((VLOOKUP(I$16,'Set up'!$A$50:$B$54,2,0)))</f>
        <v>0</v>
      </c>
      <c r="J34" s="381"/>
      <c r="K34" s="382" t="n">
        <f aca="false">K20*100/((VLOOKUP(K$16,'Set up'!$A$50:$B$54,2,0)))</f>
        <v>0</v>
      </c>
      <c r="L34" s="383"/>
      <c r="M34" s="382" t="n">
        <f aca="false">M20*100/((VLOOKUP(M$16,'Set up'!$A$50:$B$54,2,0)))</f>
        <v>0</v>
      </c>
      <c r="N34" s="383"/>
      <c r="O34" s="382" t="n">
        <f aca="false">O20*100/((VLOOKUP(O$16,'Set up'!$A$50:$B$54,2,0)))</f>
        <v>0</v>
      </c>
      <c r="P34" s="383"/>
      <c r="Q34" s="382" t="n">
        <f aca="false">Q20*100/((VLOOKUP(Q$16,'Set up'!$A$50:$B$54,2,0)))</f>
        <v>0</v>
      </c>
      <c r="R34" s="383"/>
    </row>
    <row r="35" s="42" customFormat="true" ht="14.65" hidden="false" customHeight="false" outlineLevel="0" collapsed="false">
      <c r="E35" s="367" t="str">
        <f aca="false">B21</f>
        <v>Heifer Calves</v>
      </c>
      <c r="F35" s="368"/>
      <c r="G35" s="369" t="n">
        <f aca="false">G21*(1/INDEX('Set up'!$D$45:$O$45,1,$G$1))</f>
        <v>4.70588235294118</v>
      </c>
      <c r="H35" s="370"/>
      <c r="I35" s="371" t="n">
        <f aca="false">I21*100/((VLOOKUP(I$16,'Set up'!$A$50:$B$54,2,0)))</f>
        <v>0</v>
      </c>
      <c r="J35" s="371"/>
      <c r="K35" s="369" t="n">
        <f aca="false">K21*100/((VLOOKUP(K$16,'Set up'!$A$50:$B$54,2,0)))</f>
        <v>0</v>
      </c>
      <c r="L35" s="370"/>
      <c r="M35" s="369" t="n">
        <f aca="false">M21*100/((VLOOKUP(M$16,'Set up'!$A$50:$B$54,2,0)))</f>
        <v>0</v>
      </c>
      <c r="N35" s="370"/>
      <c r="O35" s="369" t="n">
        <f aca="false">O21*100/((VLOOKUP(O$16,'Set up'!$A$50:$B$54,2,0)))</f>
        <v>0</v>
      </c>
      <c r="P35" s="370"/>
      <c r="Q35" s="369" t="n">
        <f aca="false">Q21*100/((VLOOKUP(Q$16,'Set up'!$A$50:$B$54,2,0)))</f>
        <v>0</v>
      </c>
      <c r="R35" s="370"/>
    </row>
    <row r="36" s="42" customFormat="true" ht="14.65" hidden="false" customHeight="false" outlineLevel="0" collapsed="false">
      <c r="E36" s="372" t="str">
        <f aca="false">B22</f>
        <v>Bulls</v>
      </c>
      <c r="F36" s="373"/>
      <c r="G36" s="374" t="n">
        <f aca="false">G22*(1/INDEX('Set up'!$D$45:$O$45,1,$G$1))</f>
        <v>0</v>
      </c>
      <c r="H36" s="375"/>
      <c r="I36" s="381" t="n">
        <f aca="false">I22*100/((VLOOKUP(I$16,'Set up'!$A$50:$B$54,2,0)))</f>
        <v>0</v>
      </c>
      <c r="J36" s="381"/>
      <c r="K36" s="382" t="n">
        <f aca="false">K22*100/((VLOOKUP(K$16,'Set up'!$A$50:$B$54,2,0)))</f>
        <v>0</v>
      </c>
      <c r="L36" s="383"/>
      <c r="M36" s="382" t="n">
        <f aca="false">M22*100/((VLOOKUP(M$16,'Set up'!$A$50:$B$54,2,0)))</f>
        <v>0</v>
      </c>
      <c r="N36" s="383"/>
      <c r="O36" s="382" t="n">
        <f aca="false">O22*100/((VLOOKUP(O$16,'Set up'!$A$50:$B$54,2,0)))</f>
        <v>0</v>
      </c>
      <c r="P36" s="383"/>
      <c r="Q36" s="382" t="n">
        <f aca="false">Q22*100/((VLOOKUP(Q$16,'Set up'!$A$50:$B$54,2,0)))</f>
        <v>0</v>
      </c>
      <c r="R36" s="383"/>
    </row>
    <row r="37" s="42" customFormat="true" ht="14.65" hidden="false" customHeight="false" outlineLevel="0" collapsed="false">
      <c r="E37" s="379" t="str">
        <f aca="false">B23</f>
        <v>Bull Calves</v>
      </c>
      <c r="F37" s="380"/>
      <c r="G37" s="369" t="n">
        <f aca="false">G23*(1/INDEX('Set up'!$D$45:$O$45,1,$G$1))</f>
        <v>0</v>
      </c>
      <c r="H37" s="370"/>
      <c r="I37" s="371" t="n">
        <f aca="false">I23*100/((VLOOKUP(I$16,'Set up'!$A$50:$B$54,2,0)))</f>
        <v>0</v>
      </c>
      <c r="J37" s="371"/>
      <c r="K37" s="369" t="n">
        <f aca="false">K23*100/((VLOOKUP(K$16,'Set up'!$A$50:$B$54,2,0)))</f>
        <v>0</v>
      </c>
      <c r="L37" s="370"/>
      <c r="M37" s="369" t="n">
        <f aca="false">M23*100/((VLOOKUP(M$16,'Set up'!$A$50:$B$54,2,0)))</f>
        <v>0</v>
      </c>
      <c r="N37" s="370"/>
      <c r="O37" s="369" t="n">
        <f aca="false">O23*100/((VLOOKUP(O$16,'Set up'!$A$50:$B$54,2,0)))</f>
        <v>0</v>
      </c>
      <c r="P37" s="370"/>
      <c r="Q37" s="369" t="n">
        <f aca="false">Q23*100/((VLOOKUP(Q$16,'Set up'!$A$50:$B$54,2,0)))</f>
        <v>0</v>
      </c>
      <c r="R37" s="370"/>
    </row>
    <row r="38" s="105" customFormat="true" ht="14.95" hidden="false" customHeight="false" outlineLevel="0" collapsed="false">
      <c r="B38" s="384"/>
      <c r="C38" s="385"/>
      <c r="D38" s="386"/>
      <c r="E38" s="386"/>
      <c r="F38" s="387" t="s">
        <v>192</v>
      </c>
      <c r="G38" s="388" t="n">
        <f aca="false">(($G17*$D17)+($G18*$D18)+($G19*$D19)+($G20*$D20)+($G21*$D21)+($G22*$D22)+($G23*$D23))*(1/INDEX('Set up'!$D45:$O45,1,$G$1))</f>
        <v>4411.76470588235</v>
      </c>
      <c r="H38" s="388"/>
      <c r="I38" s="389" t="n">
        <f aca="false">((I17*$D17)+(I18*$D18)+(I19*$D19)+(I20*$D20)+(I21*$D21)+(I22*$D22)+(I23*$D23))*(100/VLOOKUP($F6,'Set up'!$A$50:$C$54,2,0))</f>
        <v>0</v>
      </c>
      <c r="J38" s="390"/>
      <c r="K38" s="389" t="n">
        <f aca="false">((K17*$D17)+(K18*$D18)+(K19*$D19)+(K20*$D20)+(K21*$D21)+(K22*$D22)+(K23*$D23))*(100/VLOOKUP($F7,'Set up'!$A$50:$C$54,2,0))</f>
        <v>533.333333333333</v>
      </c>
      <c r="L38" s="390"/>
      <c r="M38" s="389" t="n">
        <f aca="false">((M17*$D17)+(M18*$D18)+(M19*$D19)+(M20*$D20)+(M21*$D21)+(M22*$D22)+(M23*$D23))*(100/VLOOKUP($F8,'Set up'!$A$50:$C$54,2,0))</f>
        <v>0</v>
      </c>
      <c r="N38" s="390"/>
      <c r="O38" s="389" t="n">
        <f aca="false">((O17*$D17)+(O18*$D18)+(O19*$D19)+(O20*$D20)+(O21*$D21)+(O22*$D22)+(O23*$D23))*(100/VLOOKUP($F9,'Set up'!$A$50:$C$54,2,0))</f>
        <v>0</v>
      </c>
      <c r="P38" s="390"/>
      <c r="Q38" s="389" t="n">
        <f aca="false">((Q17*$D17)+(Q18*$D18)+(Q19*$D19)+(Q20*$D20)+(Q21*$D21)+(Q22*$D22)+(Q23*$D23))*(100/VLOOKUP($F10,'Set up'!$A$50:$C$54,2,0))</f>
        <v>0</v>
      </c>
      <c r="R38" s="390"/>
      <c r="S38" s="331"/>
    </row>
    <row r="39" s="42" customFormat="true" ht="14.95" hidden="false" customHeight="false" outlineLevel="0" collapsed="false">
      <c r="B39" s="391"/>
      <c r="C39" s="392"/>
      <c r="D39" s="392"/>
      <c r="E39" s="392"/>
      <c r="F39" s="393" t="s">
        <v>193</v>
      </c>
      <c r="G39" s="394" t="n">
        <f aca="false">G38*$C$5</f>
        <v>132352.941176471</v>
      </c>
      <c r="H39" s="394"/>
      <c r="I39" s="395" t="n">
        <f aca="false">I38*$C$5</f>
        <v>0</v>
      </c>
      <c r="J39" s="396"/>
      <c r="K39" s="395" t="n">
        <f aca="false">K38*$C$5</f>
        <v>16000</v>
      </c>
      <c r="L39" s="396"/>
      <c r="M39" s="395" t="n">
        <f aca="false">M38*$C$5</f>
        <v>0</v>
      </c>
      <c r="N39" s="396"/>
      <c r="O39" s="395" t="n">
        <f aca="false">O38*$C$5</f>
        <v>0</v>
      </c>
      <c r="P39" s="396"/>
      <c r="Q39" s="395" t="n">
        <f aca="false">Q38*$C$5</f>
        <v>0</v>
      </c>
      <c r="R39" s="396"/>
    </row>
    <row r="40" s="42" customFormat="true" ht="14.95" hidden="false" customHeight="false" outlineLevel="0" collapsed="false">
      <c r="B40" s="42" t="s">
        <v>194</v>
      </c>
    </row>
    <row r="41" s="42" customFormat="true" ht="14.75" hidden="false" customHeight="true" outlineLevel="0" collapsed="false"/>
    <row r="42" customFormat="false" ht="14.75" hidden="false" customHeight="true" outlineLevel="0" collapsed="false">
      <c r="Q42" s="52"/>
      <c r="R42" s="52"/>
      <c r="S42" s="44"/>
    </row>
    <row r="43" s="42" customFormat="true" ht="32" hidden="false" customHeight="true" outlineLevel="0" collapsed="false">
      <c r="B43" s="208" t="s">
        <v>195</v>
      </c>
    </row>
    <row r="44" s="42" customFormat="true" ht="32" hidden="false" customHeight="true" outlineLevel="0" collapsed="false">
      <c r="B44" s="208"/>
    </row>
    <row r="45" s="42" customFormat="true" ht="14.65" hidden="false" customHeight="false" outlineLevel="0" collapsed="false">
      <c r="B45" s="44"/>
      <c r="C45" s="237"/>
      <c r="D45" s="397"/>
      <c r="E45" s="397"/>
      <c r="F45" s="398" t="s">
        <v>196</v>
      </c>
      <c r="G45" s="399" t="n">
        <f aca="true">IF(G1=1,'Set up'!$D$35,INDIRECT("period"&amp;$G$1-1&amp;"!G46"))</f>
        <v>2522.96247420022</v>
      </c>
      <c r="H45" s="400" t="s">
        <v>197</v>
      </c>
      <c r="I45" s="401"/>
      <c r="J45" s="402"/>
      <c r="K45" s="213" t="str">
        <f aca="false">IF(G1=1,"*NB: For Period1, enter the opening  Av Farm Cover in cell D37 in 'Set up'","NB: Opening av farm cover is the previous period's forecasted closing av farm cover")</f>
        <v>NB: Opening av farm cover is the previous period's forecasted closing av farm cover</v>
      </c>
      <c r="P45" s="44"/>
      <c r="V45" s="345"/>
      <c r="W45" s="2"/>
    </row>
    <row r="46" s="42" customFormat="true" ht="14.65" hidden="false" customHeight="false" outlineLevel="0" collapsed="false">
      <c r="B46" s="44"/>
      <c r="C46" s="403"/>
      <c r="D46" s="404"/>
      <c r="E46" s="404"/>
      <c r="F46" s="405" t="s">
        <v>198</v>
      </c>
      <c r="G46" s="406" t="n">
        <f aca="false">($G$45+ ($C$5*$C$12) -(G39/C11))</f>
        <v>2968.55070949433</v>
      </c>
      <c r="H46" s="407" t="s">
        <v>197</v>
      </c>
      <c r="I46" s="408"/>
      <c r="J46" s="409"/>
      <c r="K46" s="410"/>
      <c r="P46" s="44"/>
    </row>
    <row r="47" s="42" customFormat="true" ht="14.65" hidden="false" customHeight="false" outlineLevel="0" collapsed="false">
      <c r="B47" s="44"/>
      <c r="C47" s="411"/>
      <c r="D47" s="412"/>
      <c r="E47" s="412"/>
      <c r="F47" s="413" t="s">
        <v>199</v>
      </c>
      <c r="G47" s="429" t="n">
        <f aca="false">INDEX('Set up'!$D37:$O37,1,G1)</f>
        <v>2500</v>
      </c>
      <c r="H47" s="415" t="s">
        <v>197</v>
      </c>
      <c r="I47" s="416"/>
      <c r="J47" s="417"/>
      <c r="K47" s="410"/>
      <c r="P47" s="331"/>
      <c r="V47" s="345"/>
    </row>
    <row r="48" s="42" customFormat="true" ht="14.65" hidden="false" customHeight="false" outlineLevel="0" collapsed="false">
      <c r="B48" s="44"/>
      <c r="C48" s="247"/>
      <c r="D48" s="418"/>
      <c r="E48" s="418"/>
      <c r="F48" s="419" t="s">
        <v>200</v>
      </c>
      <c r="G48" s="420" t="n">
        <f aca="false">G46-G47</f>
        <v>468.550709494328</v>
      </c>
      <c r="H48" s="407" t="s">
        <v>197</v>
      </c>
      <c r="I48" s="408"/>
      <c r="J48" s="421"/>
      <c r="K48" s="422" t="s">
        <v>201</v>
      </c>
      <c r="P48" s="331"/>
    </row>
    <row r="49" s="42" customFormat="true" ht="14.65" hidden="false" customHeight="false" outlineLevel="0" collapsed="false">
      <c r="B49" s="44"/>
      <c r="C49" s="269"/>
      <c r="D49" s="423"/>
      <c r="E49" s="423"/>
      <c r="F49" s="424" t="s">
        <v>202</v>
      </c>
      <c r="G49" s="425" t="n">
        <f aca="false">G48*C11</f>
        <v>37484.0567595462</v>
      </c>
      <c r="H49" s="426" t="str">
        <f aca="false">"kg DM total over  nett "&amp;C11&amp;" ha"</f>
        <v>kg DM total over  nett 80 ha</v>
      </c>
      <c r="I49" s="427"/>
      <c r="J49" s="428"/>
      <c r="K49" s="410"/>
      <c r="P49" s="331"/>
      <c r="Q49" s="42" t="str">
        <f aca="false">CONCATENATE(Q43,S43)</f>
        <v/>
      </c>
    </row>
  </sheetData>
  <sheetProtection sheet="true" objects="true" scenarios="true" selectLockedCells="true"/>
  <mergeCells count="1">
    <mergeCell ref="Y15:AD15"/>
  </mergeCells>
  <dataValidations count="4">
    <dataValidation allowBlank="false" operator="equal" showDropDown="false" showErrorMessage="false" showInputMessage="false" sqref="F6 F8:F10" type="list">
      <formula1>'Set up'!$A$50:$A$54</formula1>
      <formula2>0</formula2>
    </dataValidation>
    <dataValidation allowBlank="false" operator="equal" showDropDown="false" showErrorMessage="false" showInputMessage="false" sqref="F7" type="list">
      <formula1>'Set up'!$A$50:$A$54</formula1>
      <formula2>0</formula2>
    </dataValidation>
    <dataValidation allowBlank="true" operator="equal" showDropDown="false" showErrorMessage="false" showInputMessage="false" sqref="B17" type="list">
      <formula1>'Set up'!$B$62:$B$90</formula1>
      <formula2>0</formula2>
    </dataValidation>
    <dataValidation allowBlank="true" operator="equal" showDropDown="false" showErrorMessage="false" showInputMessage="false" sqref="B18:B23" type="list">
      <formula1>'Set up'!$B$62:$B$89</formula1>
      <formula2>0</formula2>
    </dataValidation>
  </dataValidation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&amp;C&amp;"Arial,Regular"&amp;A</oddHeader>
    <oddFooter>&amp;C&amp;"Arial,Regular"Page &amp;P</oddFooter>
  </headerFooter>
  <drawing r:id="rId2"/>
  <legacyDrawing r:id="rId3"/>
</worksheet>
</file>

<file path=xl/worksheets/sheet12.xml><?xml version="1.0" encoding="utf-8"?>
<worksheet xmlns="http://schemas.openxmlformats.org/spreadsheetml/2006/main" xmlns:r="http://schemas.openxmlformats.org/officeDocument/2006/relationships">
  <sheetPr filterMode="false">
    <pageSetUpPr fitToPage="false"/>
  </sheetPr>
  <dimension ref="A1:AD49"/>
  <sheetViews>
    <sheetView showFormulas="false" showGridLines="false" showRowColHeaders="true" showZeros="true" rightToLeft="false" tabSelected="false" showOutlineSymbols="true" defaultGridColor="true" view="normal" topLeftCell="A1" colorId="64" zoomScale="110" zoomScaleNormal="110" zoomScalePageLayoutView="100" workbookViewId="0">
      <selection pane="topLeft" activeCell="B2" activeCellId="0" sqref="B2"/>
    </sheetView>
  </sheetViews>
  <sheetFormatPr defaultRowHeight="14.65" zeroHeight="false" outlineLevelRow="0" outlineLevelCol="0"/>
  <cols>
    <col collapsed="false" customWidth="true" hidden="false" outlineLevel="0" max="1" min="1" style="42" width="4.08"/>
    <col collapsed="false" customWidth="true" hidden="false" outlineLevel="0" max="2" min="2" style="42" width="30.91"/>
    <col collapsed="false" customWidth="true" hidden="false" outlineLevel="0" max="3" min="3" style="42" width="9.88"/>
    <col collapsed="false" customWidth="true" hidden="false" outlineLevel="0" max="4" min="4" style="42" width="10.51"/>
    <col collapsed="false" customWidth="true" hidden="false" outlineLevel="0" max="5" min="5" style="42" width="12.08"/>
    <col collapsed="false" customWidth="true" hidden="false" outlineLevel="0" max="6" min="6" style="42" width="11.76"/>
    <col collapsed="false" customWidth="true" hidden="false" outlineLevel="0" max="7" min="7" style="42" width="10.2"/>
    <col collapsed="false" customWidth="true" hidden="false" outlineLevel="0" max="8" min="8" style="42" width="5.1"/>
    <col collapsed="false" customWidth="true" hidden="false" outlineLevel="0" max="9" min="9" style="42" width="10.2"/>
    <col collapsed="false" customWidth="true" hidden="false" outlineLevel="0" max="10" min="10" style="42" width="5.1"/>
    <col collapsed="false" customWidth="true" hidden="false" outlineLevel="0" max="11" min="11" style="42" width="10.2"/>
    <col collapsed="false" customWidth="true" hidden="false" outlineLevel="0" max="12" min="12" style="42" width="5.1"/>
    <col collapsed="false" customWidth="true" hidden="false" outlineLevel="0" max="13" min="13" style="42" width="10.2"/>
    <col collapsed="false" customWidth="true" hidden="false" outlineLevel="0" max="14" min="14" style="42" width="5.1"/>
    <col collapsed="false" customWidth="true" hidden="false" outlineLevel="0" max="15" min="15" style="42" width="10.2"/>
    <col collapsed="false" customWidth="true" hidden="false" outlineLevel="0" max="16" min="16" style="42" width="5.1"/>
    <col collapsed="false" customWidth="true" hidden="false" outlineLevel="0" max="17" min="17" style="42" width="10.2"/>
    <col collapsed="false" customWidth="true" hidden="false" outlineLevel="0" max="18" min="18" style="42" width="5.1"/>
    <col collapsed="false" customWidth="true" hidden="false" outlineLevel="0" max="19" min="19" style="105" width="4.08"/>
    <col collapsed="false" customWidth="true" hidden="false" outlineLevel="0" max="1025" min="20" style="42" width="13.38"/>
  </cols>
  <sheetData>
    <row r="1" customFormat="false" ht="26.55" hidden="false" customHeight="false" outlineLevel="0" collapsed="false">
      <c r="B1" s="197" t="s">
        <v>151</v>
      </c>
      <c r="C1" s="198" t="str">
        <f aca="false">'Set up'!D4</f>
        <v>Farm A</v>
      </c>
      <c r="D1" s="199"/>
      <c r="E1" s="200"/>
      <c r="F1" s="200" t="s">
        <v>152</v>
      </c>
      <c r="G1" s="201" t="n">
        <v>9</v>
      </c>
      <c r="H1" s="202"/>
      <c r="I1" s="44"/>
      <c r="J1" s="44"/>
      <c r="M1" s="203" t="s">
        <v>153</v>
      </c>
      <c r="N1" s="105"/>
      <c r="O1" s="47"/>
      <c r="P1" s="47"/>
      <c r="S1" s="52"/>
    </row>
    <row r="2" customFormat="false" ht="32.35" hidden="false" customHeight="false" outlineLevel="0" collapsed="false">
      <c r="B2" s="430" t="s">
        <v>2</v>
      </c>
      <c r="C2" s="198"/>
      <c r="D2" s="199"/>
      <c r="E2" s="205"/>
      <c r="F2" s="206" t="s">
        <v>154</v>
      </c>
      <c r="I2" s="56"/>
      <c r="J2" s="56"/>
      <c r="K2" s="207"/>
      <c r="L2" s="207"/>
      <c r="M2" s="44"/>
      <c r="N2" s="44"/>
      <c r="O2" s="47"/>
      <c r="P2" s="47"/>
      <c r="S2" s="52"/>
    </row>
    <row r="3" s="42" customFormat="true" ht="26.45" hidden="false" customHeight="false" outlineLevel="0" collapsed="false">
      <c r="B3" s="208" t="s">
        <v>155</v>
      </c>
      <c r="D3" s="56"/>
      <c r="I3" s="209" t="s">
        <v>156</v>
      </c>
      <c r="J3" s="210"/>
    </row>
    <row r="4" s="42" customFormat="true" ht="14.65" hidden="false" customHeight="false" outlineLevel="0" collapsed="false">
      <c r="B4" s="211" t="s">
        <v>157</v>
      </c>
      <c r="C4" s="212" t="n">
        <f aca="false">HLOOKUP($G$1,'Set up'!$D$12:$O$15,3,0)</f>
        <v>43435</v>
      </c>
      <c r="D4" s="213"/>
      <c r="F4" s="214"/>
      <c r="G4" s="215" t="s">
        <v>158</v>
      </c>
      <c r="H4" s="216"/>
      <c r="I4" s="217" t="s">
        <v>159</v>
      </c>
      <c r="J4" s="216"/>
      <c r="K4" s="218" t="s">
        <v>160</v>
      </c>
      <c r="L4" s="219"/>
      <c r="M4" s="220" t="s">
        <v>161</v>
      </c>
      <c r="N4" s="221"/>
      <c r="O4" s="105"/>
      <c r="P4" s="222"/>
      <c r="Q4" s="105"/>
      <c r="R4" s="105"/>
    </row>
    <row r="5" s="42" customFormat="true" ht="14.65" hidden="false" customHeight="false" outlineLevel="0" collapsed="false">
      <c r="B5" s="223" t="s">
        <v>162</v>
      </c>
      <c r="C5" s="224" t="n">
        <f aca="false">HLOOKUP($G$1,'Set up'!$D$12:$O$15,4,0)</f>
        <v>31</v>
      </c>
      <c r="D5" s="199"/>
      <c r="F5" s="222" t="s">
        <v>163</v>
      </c>
      <c r="G5" s="225" t="s">
        <v>164</v>
      </c>
      <c r="H5" s="226"/>
      <c r="I5" s="227" t="s">
        <v>165</v>
      </c>
      <c r="J5" s="227"/>
      <c r="K5" s="228" t="s">
        <v>165</v>
      </c>
      <c r="L5" s="229"/>
      <c r="M5" s="230" t="s">
        <v>164</v>
      </c>
      <c r="N5" s="231"/>
      <c r="O5" s="222"/>
      <c r="P5" s="222"/>
      <c r="Q5" s="105"/>
      <c r="R5" s="232"/>
    </row>
    <row r="6" s="42" customFormat="true" ht="14.65" hidden="false" customHeight="false" outlineLevel="0" collapsed="false">
      <c r="B6" s="233" t="s">
        <v>166</v>
      </c>
      <c r="C6" s="234" t="n">
        <f aca="false">C4+C5</f>
        <v>43466</v>
      </c>
      <c r="D6" s="199"/>
      <c r="F6" s="235" t="s">
        <v>131</v>
      </c>
      <c r="G6" s="236" t="n">
        <f aca="false">IF($G$1=1, VLOOKUP(F6,'Set up'!$A$50:$D$54,3,0),VLOOKUP(F6,'Set up'!$A$50:$O$54,$G$1+2,0))</f>
        <v>17952.9411764706</v>
      </c>
      <c r="H6" s="237"/>
      <c r="I6" s="238" t="n">
        <f aca="false">(($D$17*I$17*$C$5)+($D$18*I$18*$C$5)+($D$19*I$19*$C$5)+($D$20*I$20*$C$5)+($D$21*I$21*$C$5)+($D$22*I$22*$C$5)+($D$23*I$23*$C$5))*(100/VLOOKUP(F6,'Set up'!$A$50:$C$54,2,0))</f>
        <v>0</v>
      </c>
      <c r="J6" s="239"/>
      <c r="K6" s="240" t="n">
        <v>75000</v>
      </c>
      <c r="L6" s="237"/>
      <c r="M6" s="241" t="n">
        <f aca="false">G6-I6+K6</f>
        <v>92952.9411764706</v>
      </c>
      <c r="N6" s="242"/>
      <c r="O6" s="44"/>
      <c r="P6" s="44"/>
      <c r="Q6" s="105"/>
      <c r="R6" s="243"/>
    </row>
    <row r="7" s="42" customFormat="true" ht="14.65" hidden="false" customHeight="false" outlineLevel="0" collapsed="false">
      <c r="B7" s="244"/>
      <c r="C7" s="213"/>
      <c r="F7" s="245" t="s">
        <v>129</v>
      </c>
      <c r="G7" s="246" t="n">
        <f aca="false">IF($G$1=1, VLOOKUP(F7,'Set up'!$A$50:$D$54,3,0),VLOOKUP(F7,'Set up'!$A$50:$O$54,$G$1+2,0))</f>
        <v>56706.6666666667</v>
      </c>
      <c r="H7" s="247"/>
      <c r="I7" s="248" t="n">
        <f aca="false">((($D$17*K$17*$C$5)+($D$18*K$18*$C$5)+($D$19*K$19*$C$5)+($D$20*K$20*$C$5)+($D$21*K$21*$C$5)+($D$22*K$22*$C$5)+($D$23*K$23*$C$5)))*(100/VLOOKUP(F7,'Set up'!$A$50:$C$54,2,0))</f>
        <v>16533.3333333333</v>
      </c>
      <c r="J7" s="249"/>
      <c r="K7" s="250" t="n">
        <v>32000</v>
      </c>
      <c r="L7" s="247"/>
      <c r="M7" s="251" t="n">
        <f aca="false">G7-I7+K7</f>
        <v>72173.3333333333</v>
      </c>
      <c r="N7" s="252"/>
      <c r="O7" s="44"/>
      <c r="P7" s="44"/>
      <c r="Q7" s="105"/>
      <c r="R7" s="243"/>
    </row>
    <row r="8" s="42" customFormat="true" ht="14.65" hidden="false" customHeight="false" outlineLevel="0" collapsed="false">
      <c r="B8" s="253" t="s">
        <v>167</v>
      </c>
      <c r="C8" s="254" t="n">
        <f aca="false">'Set up'!D7</f>
        <v>100</v>
      </c>
      <c r="D8" s="255" t="s">
        <v>168</v>
      </c>
      <c r="F8" s="256" t="s">
        <v>130</v>
      </c>
      <c r="G8" s="236" t="n">
        <f aca="false">IF($G$1=1, VLOOKUP(F8,'Set up'!$A$50:$D$54,3,0),VLOOKUP(F8,'Set up'!$A$50:$O$54,$G$1+2,0))</f>
        <v>0</v>
      </c>
      <c r="H8" s="257"/>
      <c r="I8" s="258" t="n">
        <f aca="false">(($D$17*M$17*$C$5)+($D$18*M$18*$C$5)+($D$19*M$19*$C$5)+($D$20*M$20*$C$5)+($D$21*M$21*$C$5)+($D$22*M$22*$C$5)+($D$23*M$23*$C$5))*(100/VLOOKUP(F8,'Set up'!$A$50:$C$54,2,0))</f>
        <v>0</v>
      </c>
      <c r="J8" s="259"/>
      <c r="K8" s="260" t="n">
        <v>0</v>
      </c>
      <c r="L8" s="257"/>
      <c r="M8" s="241" t="n">
        <f aca="false">G8-I8+K8</f>
        <v>0</v>
      </c>
      <c r="N8" s="261"/>
      <c r="O8" s="44"/>
      <c r="P8" s="44"/>
      <c r="Q8" s="105"/>
      <c r="R8" s="243"/>
      <c r="T8" s="262"/>
    </row>
    <row r="9" s="42" customFormat="true" ht="14.65" hidden="false" customHeight="false" outlineLevel="0" collapsed="false">
      <c r="B9" s="263" t="s">
        <v>169</v>
      </c>
      <c r="C9" s="264" t="n">
        <v>0</v>
      </c>
      <c r="D9" s="265" t="n">
        <f aca="true">IF($G$1&lt;&gt;1,INDIRECT("period"&amp;$G$1-1&amp;"!c9"),0)</f>
        <v>0</v>
      </c>
      <c r="F9" s="245" t="s">
        <v>132</v>
      </c>
      <c r="G9" s="246" t="n">
        <f aca="false">IF($G$1=1, VLOOKUP(F9,'Set up'!$A$50:$D$54,3,0),VLOOKUP(F9,'Set up'!$A$50:$O$54,$G$1+2,0))</f>
        <v>0</v>
      </c>
      <c r="H9" s="247"/>
      <c r="I9" s="248" t="n">
        <f aca="false">(($D$17*O$17*$C$5)+($D$18*O$18*$C$5)+($D$19*O$19*$C$5)+($D$20*O$20*$C$5)+($D$21*O$21*$C$5)+($D$22*O$22*$C$5)+($D$23*O$23*$C$5))*(100/VLOOKUP(F9,'Set up'!$A$50:$C$54,2,0))</f>
        <v>0</v>
      </c>
      <c r="J9" s="249"/>
      <c r="K9" s="250" t="n">
        <v>0</v>
      </c>
      <c r="L9" s="247"/>
      <c r="M9" s="251" t="n">
        <f aca="false">G9-I9+K9</f>
        <v>0</v>
      </c>
      <c r="N9" s="252"/>
      <c r="O9" s="44"/>
      <c r="P9" s="44"/>
      <c r="Q9" s="105"/>
      <c r="R9" s="243"/>
    </row>
    <row r="10" s="42" customFormat="true" ht="14.65" hidden="false" customHeight="false" outlineLevel="0" collapsed="false">
      <c r="B10" s="263" t="s">
        <v>170</v>
      </c>
      <c r="C10" s="266" t="n">
        <v>30</v>
      </c>
      <c r="D10" s="265" t="n">
        <f aca="true">IF($G$1&lt;&gt;1,INDIRECT("period"&amp;$G$1-1&amp;"!c10"),0)</f>
        <v>20</v>
      </c>
      <c r="F10" s="267" t="s">
        <v>133</v>
      </c>
      <c r="G10" s="268" t="n">
        <f aca="false">IF($G$1=1, VLOOKUP(F10,'Set up'!$A$50:$D$54,3,0),VLOOKUP(F10,'Set up'!$A$50:$O$54,$G$1+2,0))</f>
        <v>831.578947368422</v>
      </c>
      <c r="H10" s="269"/>
      <c r="I10" s="270" t="n">
        <f aca="false">(($D$17*Q$17*$C$5)+($D$18*Q$18*$C$5)+($D$19*Q$19*$C$5)+($D$20*Q$20*$C$5)+($D$21*Q$21*$C$5)+($D$22*Q$22*$C$5)+($D$23*Q$23*$C$5))*(100/VLOOKUP(F10,'Set up'!$A$50:$C$54,2,0))</f>
        <v>0</v>
      </c>
      <c r="J10" s="271"/>
      <c r="K10" s="272" t="n">
        <v>0</v>
      </c>
      <c r="L10" s="269"/>
      <c r="M10" s="273" t="n">
        <f aca="false">G10-I10+K10</f>
        <v>831.578947368422</v>
      </c>
      <c r="N10" s="274"/>
      <c r="O10" s="44"/>
      <c r="P10" s="44"/>
      <c r="Q10" s="105"/>
      <c r="R10" s="243"/>
    </row>
    <row r="11" s="42" customFormat="true" ht="14.65" hidden="false" customHeight="false" outlineLevel="0" collapsed="false">
      <c r="B11" s="275" t="s">
        <v>171</v>
      </c>
      <c r="C11" s="276" t="n">
        <f aca="false">C8-C9-C10</f>
        <v>70</v>
      </c>
      <c r="D11" s="265" t="n">
        <f aca="true">IF($G$1&lt;&gt;1,INDIRECT("period"&amp;$G$1-1&amp;"!c11"),0)</f>
        <v>80</v>
      </c>
      <c r="F11" s="42" t="s">
        <v>172</v>
      </c>
    </row>
    <row r="12" s="42" customFormat="true" ht="14.65" hidden="false" customHeight="false" outlineLevel="0" collapsed="false">
      <c r="A12" s="44"/>
      <c r="B12" s="277" t="s">
        <v>173</v>
      </c>
      <c r="C12" s="278" t="n">
        <f aca="false">INDEX('Set up'!D30:O30,1,G1)</f>
        <v>65</v>
      </c>
      <c r="D12" s="279" t="s">
        <v>174</v>
      </c>
      <c r="E12" s="44"/>
      <c r="F12" s="105" t="s">
        <v>175</v>
      </c>
      <c r="G12" s="105"/>
      <c r="H12" s="105"/>
      <c r="I12" s="105"/>
      <c r="J12" s="105"/>
    </row>
    <row r="13" s="42" customFormat="true" ht="14.65" hidden="false" customHeight="false" outlineLevel="0" collapsed="false">
      <c r="B13" s="2"/>
      <c r="C13" s="2"/>
      <c r="D13" s="2"/>
    </row>
    <row r="14" s="42" customFormat="true" ht="14.65" hidden="false" customHeight="false" outlineLevel="0" collapsed="false">
      <c r="B14" s="2"/>
      <c r="C14" s="2"/>
      <c r="D14" s="2"/>
      <c r="F14" s="280"/>
    </row>
    <row r="15" s="42" customFormat="true" ht="57.25" hidden="false" customHeight="true" outlineLevel="0" collapsed="false">
      <c r="B15" s="208" t="s">
        <v>176</v>
      </c>
      <c r="C15" s="281"/>
      <c r="D15" s="282"/>
      <c r="G15" s="283" t="s">
        <v>177</v>
      </c>
      <c r="N15" s="284"/>
      <c r="Y15" s="285"/>
      <c r="Z15" s="285"/>
      <c r="AA15" s="285"/>
      <c r="AB15" s="285"/>
      <c r="AC15" s="285"/>
      <c r="AD15" s="285"/>
    </row>
    <row r="16" customFormat="false" ht="47.7" hidden="false" customHeight="true" outlineLevel="0" collapsed="false">
      <c r="B16" s="286" t="s">
        <v>178</v>
      </c>
      <c r="C16" s="287" t="s">
        <v>179</v>
      </c>
      <c r="D16" s="288" t="s">
        <v>180</v>
      </c>
      <c r="E16" s="289" t="s">
        <v>181</v>
      </c>
      <c r="F16" s="290" t="s">
        <v>182</v>
      </c>
      <c r="G16" s="291" t="s">
        <v>123</v>
      </c>
      <c r="H16" s="292" t="s">
        <v>183</v>
      </c>
      <c r="I16" s="293" t="str">
        <f aca="false">F6</f>
        <v>Meadow Hay</v>
      </c>
      <c r="J16" s="294" t="s">
        <v>183</v>
      </c>
      <c r="K16" s="295" t="str">
        <f aca="false">F7</f>
        <v>Pasture Silage</v>
      </c>
      <c r="L16" s="292" t="s">
        <v>183</v>
      </c>
      <c r="M16" s="293" t="str">
        <f aca="false">F8</f>
        <v>Maize Silage</v>
      </c>
      <c r="N16" s="294" t="s">
        <v>183</v>
      </c>
      <c r="O16" s="295" t="str">
        <f aca="false">F9</f>
        <v>Crop</v>
      </c>
      <c r="P16" s="292" t="s">
        <v>183</v>
      </c>
      <c r="Q16" s="293" t="str">
        <f aca="false">F10</f>
        <v>Meal</v>
      </c>
      <c r="R16" s="294" t="s">
        <v>183</v>
      </c>
      <c r="S16" s="296"/>
    </row>
    <row r="17" customFormat="false" ht="14.65" hidden="false" customHeight="false" outlineLevel="0" collapsed="false">
      <c r="B17" s="297" t="s">
        <v>138</v>
      </c>
      <c r="C17" s="298" t="n">
        <f aca="false">VLOOKUP(B17,'Set up'!$B$62:$O$89,2+$G$1,FALSE())</f>
        <v>250</v>
      </c>
      <c r="D17" s="299" t="n">
        <v>200</v>
      </c>
      <c r="E17" s="300" t="str">
        <f aca="false">TRIM(CLEAN(INDEX('Set up'!$D$63:$O$87,MATCH(B17,'Set up'!$B$62:$B$89,0),+$G$1)))</f>
        <v>16</v>
      </c>
      <c r="F17" s="301" t="n">
        <f aca="false">G17+I17+K17+M17+O17+Q17</f>
        <v>16</v>
      </c>
      <c r="G17" s="302" t="n">
        <v>14</v>
      </c>
      <c r="H17" s="303" t="n">
        <f aca="true">IF($G$1&lt;&gt;1,INDIRECT("period"&amp;$G$1-1&amp;"!G17"),0)</f>
        <v>16</v>
      </c>
      <c r="I17" s="302" t="n">
        <v>0</v>
      </c>
      <c r="J17" s="303" t="n">
        <f aca="true">IF($G$1&lt;&gt;1,INDIRECT("period"&amp;$G$1-1&amp;"!I17"),0)</f>
        <v>0</v>
      </c>
      <c r="K17" s="302" t="n">
        <v>2</v>
      </c>
      <c r="L17" s="303" t="n">
        <f aca="true">IF($G$1&lt;&gt;1,INDIRECT("period"&amp;$G$1-1&amp;"!K17"),0)</f>
        <v>2</v>
      </c>
      <c r="M17" s="302" t="n">
        <v>0</v>
      </c>
      <c r="N17" s="303" t="n">
        <f aca="true">IF($G$1&lt;&gt;1,INDIRECT("period"&amp;$G$1-1&amp;"!M17"),0)</f>
        <v>0</v>
      </c>
      <c r="O17" s="302" t="n">
        <v>0</v>
      </c>
      <c r="P17" s="303" t="n">
        <f aca="true">IF($G$1&lt;&gt;1,INDIRECT("period"&amp;$G$1-1&amp;"!O17"),0)</f>
        <v>0</v>
      </c>
      <c r="Q17" s="304" t="n">
        <v>0</v>
      </c>
      <c r="R17" s="305" t="n">
        <f aca="true">IF($G$1&lt;&gt;1,INDIRECT("period"&amp;$G$1-1&amp;"!Q17"),0)</f>
        <v>0</v>
      </c>
      <c r="S17" s="306"/>
    </row>
    <row r="18" customFormat="false" ht="14.65" hidden="false" customHeight="false" outlineLevel="0" collapsed="false">
      <c r="B18" s="307" t="s">
        <v>142</v>
      </c>
      <c r="C18" s="308" t="n">
        <f aca="false">VLOOKUP(B18,'Set up'!$B$62:$O$89,2+$G$1,FALSE())</f>
        <v>0</v>
      </c>
      <c r="D18" s="309" t="n">
        <v>0</v>
      </c>
      <c r="E18" s="310" t="str">
        <f aca="false">TRIM(CLEAN(INDEX('Set up'!$D$63:$O$87,MATCH(B18,'Set up'!$B$62:$B$89,0),+$G$1)))</f>
        <v>0</v>
      </c>
      <c r="F18" s="311" t="n">
        <f aca="false">G18+I18+K18+M18+O18+Q18</f>
        <v>0</v>
      </c>
      <c r="G18" s="312" t="n">
        <v>0</v>
      </c>
      <c r="H18" s="313" t="n">
        <f aca="true">IF($G$1&lt;&gt;1,INDIRECT("period"&amp;$G$1-1&amp;"!G18"),0)</f>
        <v>0</v>
      </c>
      <c r="I18" s="312" t="n">
        <v>0</v>
      </c>
      <c r="J18" s="313" t="n">
        <f aca="true">IF($G$1&lt;&gt;1,INDIRECT("period"&amp;$G$1-1&amp;"!I18"),0)</f>
        <v>0</v>
      </c>
      <c r="K18" s="312" t="n">
        <v>0</v>
      </c>
      <c r="L18" s="313" t="n">
        <f aca="true">IF($G$1&lt;&gt;1,INDIRECT("period"&amp;$G$1-1&amp;"!K18"),0)</f>
        <v>0</v>
      </c>
      <c r="M18" s="312" t="n">
        <v>0</v>
      </c>
      <c r="N18" s="313" t="n">
        <f aca="true">IF($G$1&lt;&gt;1,INDIRECT("period"&amp;$G$1-1&amp;"!M18"),0)</f>
        <v>0</v>
      </c>
      <c r="O18" s="312" t="n">
        <v>0</v>
      </c>
      <c r="P18" s="313" t="n">
        <f aca="true">IF($G$1&lt;&gt;1,INDIRECT("period"&amp;$G$1-1&amp;"!O18"),0)</f>
        <v>0</v>
      </c>
      <c r="Q18" s="312" t="n">
        <v>0</v>
      </c>
      <c r="R18" s="313" t="n">
        <f aca="true">IF($G$1&lt;&gt;1,INDIRECT("period"&amp;$G$1-1&amp;"!Q18"),0)</f>
        <v>0</v>
      </c>
      <c r="S18" s="306"/>
    </row>
    <row r="19" customFormat="false" ht="14.65" hidden="false" customHeight="false" outlineLevel="0" collapsed="false">
      <c r="B19" s="314" t="s">
        <v>143</v>
      </c>
      <c r="C19" s="308" t="n">
        <f aca="false">VLOOKUP(B19,'Set up'!$B$62:$O$89,2+$G$1,FALSE())</f>
        <v>0</v>
      </c>
      <c r="D19" s="315" t="n">
        <v>0</v>
      </c>
      <c r="E19" s="316" t="str">
        <f aca="false">TRIM(CLEAN(INDEX('Set up'!$D$63:$O$87,MATCH(B19,'Set up'!$B$62:$B$89,0),+$G$1)))</f>
        <v>0</v>
      </c>
      <c r="F19" s="317" t="n">
        <f aca="false">G19+I19+K19+M19+O19+Q19</f>
        <v>0</v>
      </c>
      <c r="G19" s="304" t="n">
        <v>0</v>
      </c>
      <c r="H19" s="305" t="n">
        <f aca="true">IF($G$1&lt;&gt;1,INDIRECT("period"&amp;$G$1-1&amp;"!G19"),0)</f>
        <v>0</v>
      </c>
      <c r="I19" s="304" t="n">
        <v>0</v>
      </c>
      <c r="J19" s="305" t="n">
        <f aca="true">IF($G$1&lt;&gt;1,INDIRECT("period"&amp;$G$1-1&amp;"!I19"),0)</f>
        <v>0</v>
      </c>
      <c r="K19" s="304" t="n">
        <v>0</v>
      </c>
      <c r="L19" s="305" t="n">
        <f aca="true">IF($G$1&lt;&gt;1,INDIRECT("period"&amp;$G$1-1&amp;"!K19"),0)</f>
        <v>0</v>
      </c>
      <c r="M19" s="304" t="n">
        <v>0</v>
      </c>
      <c r="N19" s="305" t="n">
        <f aca="true">IF($G$1&lt;&gt;1,INDIRECT("period"&amp;$G$1-1&amp;"!G19"),0)</f>
        <v>0</v>
      </c>
      <c r="O19" s="304" t="n">
        <v>0</v>
      </c>
      <c r="P19" s="305" t="n">
        <f aca="true">IF($G$1&lt;&gt;1,INDIRECT("period"&amp;$G$1-1&amp;"!O19"),0)</f>
        <v>0</v>
      </c>
      <c r="Q19" s="304" t="n">
        <v>0</v>
      </c>
      <c r="R19" s="305" t="n">
        <f aca="true">IF($G$1&lt;&gt;1,INDIRECT("period"&amp;$G$1-1&amp;"!Q19"),0)</f>
        <v>0</v>
      </c>
      <c r="S19" s="306"/>
    </row>
    <row r="20" customFormat="false" ht="14.65" hidden="false" customHeight="false" outlineLevel="0" collapsed="false">
      <c r="B20" s="307" t="s">
        <v>144</v>
      </c>
      <c r="C20" s="308" t="n">
        <f aca="false">VLOOKUP(B20,'Set up'!$B$62:$O$89,2+$G$1,FALSE())</f>
        <v>50</v>
      </c>
      <c r="D20" s="318" t="n">
        <v>50</v>
      </c>
      <c r="E20" s="310" t="str">
        <f aca="false">TRIM(CLEAN(INDEX('Set up'!$D$63:$O$87,MATCH(B20,'Set up'!$B$62:$B$89,0),+$G$1)))</f>
        <v>7</v>
      </c>
      <c r="F20" s="311" t="n">
        <f aca="false">G20+I20+K20+M20+O20+Q20</f>
        <v>7</v>
      </c>
      <c r="G20" s="312" t="n">
        <v>7</v>
      </c>
      <c r="H20" s="313" t="n">
        <f aca="true">IF($G$1&lt;&gt;1,INDIRECT("period"&amp;$G$1-1&amp;"!G20"),0)</f>
        <v>7</v>
      </c>
      <c r="I20" s="312" t="n">
        <v>0</v>
      </c>
      <c r="J20" s="313" t="n">
        <f aca="true">IF($G$1&lt;&gt;1,INDIRECT("period"&amp;$G$1-1&amp;"!I27"),0)</f>
        <v>0</v>
      </c>
      <c r="K20" s="312" t="n">
        <v>0</v>
      </c>
      <c r="L20" s="313" t="n">
        <f aca="true">IF($G$1&lt;&gt;1,INDIRECT("period"&amp;$G$1-1&amp;"!K20"),0)</f>
        <v>0</v>
      </c>
      <c r="M20" s="312" t="n">
        <v>0</v>
      </c>
      <c r="N20" s="313" t="n">
        <f aca="true">IF($G$1&lt;&gt;1,INDIRECT("period"&amp;$G$1-1&amp;"!M20"),0)</f>
        <v>0</v>
      </c>
      <c r="O20" s="312" t="n">
        <v>0</v>
      </c>
      <c r="P20" s="313" t="n">
        <f aca="true">IF($G$1&lt;&gt;1,INDIRECT("period"&amp;$G$1-1&amp;"!O20"),0)</f>
        <v>0</v>
      </c>
      <c r="Q20" s="312" t="n">
        <v>0</v>
      </c>
      <c r="R20" s="313" t="n">
        <f aca="true">IF($G$1&lt;&gt;1,INDIRECT("period"&amp;$G$1-1&amp;"!Q20"),0)</f>
        <v>0</v>
      </c>
      <c r="S20" s="306"/>
    </row>
    <row r="21" customFormat="false" ht="14.65" hidden="false" customHeight="false" outlineLevel="0" collapsed="false">
      <c r="B21" s="314" t="s">
        <v>145</v>
      </c>
      <c r="C21" s="308" t="n">
        <f aca="false">VLOOKUP(B21,'Set up'!$B$62:$O$89,2+$G$1,FALSE())</f>
        <v>50</v>
      </c>
      <c r="D21" s="315" t="n">
        <v>50</v>
      </c>
      <c r="E21" s="316" t="str">
        <f aca="false">TRIM(CLEAN(INDEX('Set up'!$D$63:$O$87,MATCH(B21,'Set up'!$B$62:$B$89,0),+$G$1)))</f>
        <v>4</v>
      </c>
      <c r="F21" s="317" t="n">
        <f aca="false">G21+I21+K21+M21+O21+Q21</f>
        <v>4</v>
      </c>
      <c r="G21" s="304" t="n">
        <v>4</v>
      </c>
      <c r="H21" s="305" t="n">
        <f aca="true">IF($G$1&lt;&gt;1,INDIRECT("period"&amp;$G$1-1&amp;"!G21"),0)</f>
        <v>4</v>
      </c>
      <c r="I21" s="304" t="n">
        <v>0</v>
      </c>
      <c r="J21" s="305" t="n">
        <f aca="true">IF($G$1&lt;&gt;1,INDIRECT("period"&amp;$G$1-1&amp;"!I21"),0)</f>
        <v>0</v>
      </c>
      <c r="K21" s="304" t="n">
        <v>0</v>
      </c>
      <c r="L21" s="305" t="n">
        <f aca="true">IF($G$1&lt;&gt;1,INDIRECT("period"&amp;$G$1-1&amp;"!K21"),0)</f>
        <v>0</v>
      </c>
      <c r="M21" s="304" t="n">
        <v>0</v>
      </c>
      <c r="N21" s="305" t="n">
        <f aca="true">IF($G$1&lt;&gt;1,INDIRECT("period"&amp;$G$1-1&amp;"!M21"),0)</f>
        <v>0</v>
      </c>
      <c r="O21" s="304" t="n">
        <v>0</v>
      </c>
      <c r="P21" s="305" t="n">
        <f aca="true">IF($G$1&lt;&gt;1,INDIRECT("period"&amp;$G$1-1&amp;"!O21"),0)</f>
        <v>0</v>
      </c>
      <c r="Q21" s="304" t="n">
        <v>0</v>
      </c>
      <c r="R21" s="305" t="n">
        <f aca="true">IF($G$1&lt;&gt;1,INDIRECT("period"&amp;$G$1-1&amp;"!Q21"),0)</f>
        <v>0</v>
      </c>
      <c r="S21" s="319"/>
    </row>
    <row r="22" customFormat="false" ht="14.65" hidden="false" customHeight="false" outlineLevel="0" collapsed="false">
      <c r="B22" s="307" t="s">
        <v>147</v>
      </c>
      <c r="C22" s="308" t="n">
        <f aca="false">VLOOKUP(B22,'Set up'!$B$62:$O$89,2+$G$1,FALSE())</f>
        <v>0</v>
      </c>
      <c r="D22" s="318" t="n">
        <v>0</v>
      </c>
      <c r="E22" s="310" t="str">
        <f aca="false">TRIM(CLEAN(INDEX('Set up'!$D$63:$O$87,MATCH(B22,'Set up'!$B$62:$B$89,0),+$G$1)))</f>
        <v>0</v>
      </c>
      <c r="F22" s="311" t="n">
        <f aca="false">G22+I22+K22+M22+O22+Q22</f>
        <v>0</v>
      </c>
      <c r="G22" s="312" t="n">
        <v>0</v>
      </c>
      <c r="H22" s="313" t="n">
        <f aca="true">IF($G$1&lt;&gt;1,INDIRECT("period"&amp;$G$1-1&amp;"!G22"),0)</f>
        <v>0</v>
      </c>
      <c r="I22" s="312" t="n">
        <v>0</v>
      </c>
      <c r="J22" s="313" t="n">
        <f aca="true">IF($G$1&lt;&gt;1,INDIRECT("period"&amp;$G$1-1&amp;"!i22"),0)</f>
        <v>0</v>
      </c>
      <c r="K22" s="312" t="n">
        <v>0</v>
      </c>
      <c r="L22" s="313" t="n">
        <f aca="true">IF($G$1&lt;&gt;1,INDIRECT("period"&amp;$G$1-1&amp;"!G22"),0)</f>
        <v>0</v>
      </c>
      <c r="M22" s="312" t="n">
        <v>0</v>
      </c>
      <c r="N22" s="313" t="n">
        <f aca="true">IF($G$1&lt;&gt;1,INDIRECT("period"&amp;$G$1-1&amp;"!M22"),0)</f>
        <v>0</v>
      </c>
      <c r="O22" s="312" t="n">
        <v>0</v>
      </c>
      <c r="P22" s="313" t="n">
        <f aca="true">IF($G$1&lt;&gt;1,INDIRECT("period"&amp;$G$1-1&amp;"!O22"),0)</f>
        <v>0</v>
      </c>
      <c r="Q22" s="312" t="n">
        <v>0</v>
      </c>
      <c r="R22" s="313" t="n">
        <f aca="true">IF($G$1&lt;&gt;1,INDIRECT("period"&amp;$G$1-1&amp;"!Q22"),0)</f>
        <v>0</v>
      </c>
      <c r="S22" s="306"/>
    </row>
    <row r="23" customFormat="false" ht="14.65" hidden="false" customHeight="false" outlineLevel="0" collapsed="false">
      <c r="B23" s="320" t="s">
        <v>146</v>
      </c>
      <c r="C23" s="321" t="n">
        <f aca="false">VLOOKUP(B23,'Set up'!$B$62:$O$89,2+$G$1,FALSE())</f>
        <v>0</v>
      </c>
      <c r="D23" s="322" t="n">
        <v>0</v>
      </c>
      <c r="E23" s="323" t="str">
        <f aca="false">TRIM(CLEAN(INDEX('Set up'!$D$63:$O$87,MATCH(B23,'Set up'!$B$62:$B$89,0),+$G$1)))</f>
        <v>0</v>
      </c>
      <c r="F23" s="324" t="n">
        <f aca="false">G23+I23+K23+M23+O23+Q23</f>
        <v>0</v>
      </c>
      <c r="G23" s="325" t="n">
        <v>0</v>
      </c>
      <c r="H23" s="326" t="n">
        <f aca="true">IF($G$1&lt;&gt;1,INDIRECT("period"&amp;$G$1-1&amp;"!G23"),0)</f>
        <v>0</v>
      </c>
      <c r="I23" s="325" t="n">
        <v>0</v>
      </c>
      <c r="J23" s="326" t="n">
        <f aca="true">IF($G$1&lt;&gt;1,INDIRECT("period"&amp;$G$1-1&amp;"!I23"),0)</f>
        <v>0</v>
      </c>
      <c r="K23" s="325" t="n">
        <v>0</v>
      </c>
      <c r="L23" s="326" t="n">
        <f aca="true">IF($G$1&lt;&gt;1,INDIRECT("period"&amp;$G$1-1&amp;"!K23"),0)</f>
        <v>0</v>
      </c>
      <c r="M23" s="325" t="n">
        <v>0</v>
      </c>
      <c r="N23" s="326" t="n">
        <f aca="true">IF($G$1&lt;&gt;1,INDIRECT("period"&amp;$G$1-1&amp;"!M23"),0)</f>
        <v>0</v>
      </c>
      <c r="O23" s="325" t="n">
        <v>0</v>
      </c>
      <c r="P23" s="326" t="n">
        <f aca="true">IF($G$1&lt;&gt;1,INDIRECT("period"&amp;$G$1-1&amp;"!G23"),0)</f>
        <v>0</v>
      </c>
      <c r="Q23" s="325" t="n">
        <v>0</v>
      </c>
      <c r="R23" s="326" t="n">
        <f aca="true">IF($G$1&lt;&gt;1,INDIRECT("period"&amp;$G$1-1&amp;"!Q23"),0)</f>
        <v>0</v>
      </c>
      <c r="S23" s="306"/>
    </row>
    <row r="24" customFormat="false" ht="14.65" hidden="false" customHeight="false" outlineLevel="0" collapsed="false">
      <c r="B24" s="327" t="s">
        <v>184</v>
      </c>
      <c r="C24" s="328" t="n">
        <f aca="false">SUM(C17:C23)</f>
        <v>350</v>
      </c>
      <c r="D24" s="329" t="n">
        <f aca="false">SUM(D17:D23)</f>
        <v>300</v>
      </c>
      <c r="E24" s="330"/>
      <c r="F24" s="330"/>
      <c r="S24" s="331"/>
    </row>
    <row r="25" customFormat="false" ht="14.65" hidden="false" customHeight="false" outlineLevel="0" collapsed="false">
      <c r="B25" s="332"/>
      <c r="C25" s="333"/>
      <c r="D25" s="334"/>
      <c r="E25" s="330"/>
      <c r="F25" s="330"/>
      <c r="H25" s="335"/>
      <c r="I25" s="336"/>
      <c r="J25" s="337" t="s">
        <v>185</v>
      </c>
      <c r="K25" s="336"/>
      <c r="L25" s="336"/>
      <c r="M25" s="338"/>
      <c r="S25" s="331"/>
    </row>
    <row r="26" s="42" customFormat="true" ht="14.65" hidden="false" customHeight="false" outlineLevel="0" collapsed="false">
      <c r="H26" s="339"/>
      <c r="I26" s="340"/>
      <c r="J26" s="341" t="s">
        <v>186</v>
      </c>
      <c r="K26" s="342" t="n">
        <f aca="false">G46</f>
        <v>3129.08642378004</v>
      </c>
      <c r="L26" s="343" t="s">
        <v>174</v>
      </c>
      <c r="M26" s="344"/>
    </row>
    <row r="27" s="42" customFormat="true" ht="14.65" hidden="false" customHeight="false" outlineLevel="0" collapsed="false">
      <c r="H27" s="136"/>
      <c r="I27" s="346"/>
      <c r="J27" s="347" t="s">
        <v>187</v>
      </c>
      <c r="K27" s="348" t="str">
        <f aca="false">"("&amp;G47</f>
        <v>(2400</v>
      </c>
      <c r="L27" s="349" t="s">
        <v>188</v>
      </c>
      <c r="M27" s="350"/>
    </row>
    <row r="28" s="42" customFormat="true" ht="27.25" hidden="false" customHeight="false" outlineLevel="0" collapsed="false">
      <c r="B28" s="208" t="s">
        <v>189</v>
      </c>
      <c r="G28" s="351"/>
      <c r="H28" s="351"/>
      <c r="I28" s="352"/>
      <c r="J28" s="352"/>
      <c r="K28" s="353" t="s">
        <v>190</v>
      </c>
      <c r="L28" s="353"/>
      <c r="M28" s="352"/>
      <c r="N28" s="352"/>
      <c r="O28" s="352"/>
      <c r="P28" s="352"/>
      <c r="Q28" s="354"/>
      <c r="R28" s="354"/>
    </row>
    <row r="29" s="42" customFormat="true" ht="14.65" hidden="false" customHeight="false" outlineLevel="0" collapsed="false">
      <c r="B29" s="42" t="s">
        <v>191</v>
      </c>
      <c r="G29" s="355"/>
      <c r="H29" s="355"/>
      <c r="I29" s="356"/>
      <c r="J29" s="356"/>
      <c r="K29" s="357"/>
      <c r="L29" s="357"/>
      <c r="M29" s="356"/>
      <c r="N29" s="356"/>
      <c r="O29" s="356"/>
      <c r="P29" s="356"/>
      <c r="Q29" s="358"/>
      <c r="R29" s="358"/>
      <c r="T29" s="359"/>
    </row>
    <row r="30" s="42" customFormat="true" ht="23.85" hidden="false" customHeight="false" outlineLevel="0" collapsed="false">
      <c r="G30" s="360" t="s">
        <v>123</v>
      </c>
      <c r="H30" s="361"/>
      <c r="I30" s="362" t="str">
        <f aca="false">I16</f>
        <v>Meadow Hay</v>
      </c>
      <c r="J30" s="363"/>
      <c r="K30" s="364" t="str">
        <f aca="false">K16</f>
        <v>Pasture Silage</v>
      </c>
      <c r="L30" s="365"/>
      <c r="M30" s="362" t="str">
        <f aca="false">M16</f>
        <v>Maize Silage</v>
      </c>
      <c r="N30" s="363"/>
      <c r="O30" s="366" t="str">
        <f aca="false">O16</f>
        <v>Crop</v>
      </c>
      <c r="P30" s="365"/>
      <c r="Q30" s="362" t="str">
        <f aca="false">Q16</f>
        <v>Meal</v>
      </c>
      <c r="R30" s="363"/>
    </row>
    <row r="31" s="42" customFormat="true" ht="14.65" hidden="false" customHeight="false" outlineLevel="0" collapsed="false">
      <c r="E31" s="367" t="str">
        <f aca="false">B17</f>
        <v>Milking Cows Herd A</v>
      </c>
      <c r="F31" s="368"/>
      <c r="G31" s="369" t="n">
        <f aca="false">G17*(1/INDEX('Set up'!$D$45:$O$45,1,$G$1))</f>
        <v>17.5</v>
      </c>
      <c r="H31" s="370"/>
      <c r="I31" s="371" t="n">
        <f aca="false">I17*100/((VLOOKUP(I$16,'Set up'!$A$50:$B$54,2,0)))</f>
        <v>0</v>
      </c>
      <c r="J31" s="371"/>
      <c r="K31" s="369" t="n">
        <f aca="false">K17*100/((VLOOKUP(K$16,'Set up'!$A$50:$B$54,2,0)))</f>
        <v>2.66666666666667</v>
      </c>
      <c r="L31" s="370"/>
      <c r="M31" s="369" t="n">
        <f aca="false">M17*100/((VLOOKUP(M$16,'Set up'!$A$50:$B$54,2,0)))</f>
        <v>0</v>
      </c>
      <c r="N31" s="370"/>
      <c r="O31" s="369" t="n">
        <f aca="false">O17*100/((VLOOKUP(O$16,'Set up'!$A$50:$B$54,2,0)))</f>
        <v>0</v>
      </c>
      <c r="P31" s="370"/>
      <c r="Q31" s="369" t="n">
        <f aca="false">Q17*100/((VLOOKUP(Q$16,'Set up'!$A$50:$B$54,2,0)))</f>
        <v>0</v>
      </c>
      <c r="R31" s="370"/>
    </row>
    <row r="32" s="42" customFormat="true" ht="14.65" hidden="false" customHeight="false" outlineLevel="0" collapsed="false">
      <c r="E32" s="372" t="str">
        <f aca="false">B18</f>
        <v>Dry Fats</v>
      </c>
      <c r="F32" s="373"/>
      <c r="G32" s="374" t="n">
        <f aca="false">G18*(1/INDEX('Set up'!$D$45:$O$45,1,$G$1))</f>
        <v>0</v>
      </c>
      <c r="H32" s="375"/>
      <c r="I32" s="376" t="n">
        <f aca="false">I18*100/((VLOOKUP(I$16,'Set up'!$A$50:$B$54,2,0)))</f>
        <v>0</v>
      </c>
      <c r="J32" s="376"/>
      <c r="K32" s="377" t="n">
        <f aca="false">K18*100/((VLOOKUP(K$16,'Set up'!$A$50:$B$54,2,0)))</f>
        <v>0</v>
      </c>
      <c r="L32" s="378"/>
      <c r="M32" s="377" t="n">
        <f aca="false">M18*100/((VLOOKUP(M$16,'Set up'!$A$50:$B$54,2,0)))</f>
        <v>0</v>
      </c>
      <c r="N32" s="378"/>
      <c r="O32" s="377" t="n">
        <f aca="false">O18*100/((VLOOKUP(O$16,'Set up'!$A$50:$B$54,2,0)))</f>
        <v>0</v>
      </c>
      <c r="P32" s="378"/>
      <c r="Q32" s="377" t="n">
        <f aca="false">Q18*100/((VLOOKUP(Q$16,'Set up'!$A$50:$B$54,2,0)))</f>
        <v>0</v>
      </c>
      <c r="R32" s="378"/>
    </row>
    <row r="33" s="42" customFormat="true" ht="14.65" hidden="false" customHeight="false" outlineLevel="0" collapsed="false">
      <c r="E33" s="379" t="str">
        <f aca="false">B19</f>
        <v>Dry thins</v>
      </c>
      <c r="F33" s="380"/>
      <c r="G33" s="369" t="n">
        <f aca="false">G19*(1/INDEX('Set up'!$D$45:$O$45,1,$G$1))</f>
        <v>0</v>
      </c>
      <c r="H33" s="370"/>
      <c r="I33" s="371" t="n">
        <f aca="false">I19*100/((VLOOKUP(I$16,'Set up'!$A$50:$B$54,2,0)))</f>
        <v>0</v>
      </c>
      <c r="J33" s="371"/>
      <c r="K33" s="369" t="n">
        <f aca="false">K19*100/((VLOOKUP(K$16,'Set up'!$A$50:$B$54,2,0)))</f>
        <v>0</v>
      </c>
      <c r="L33" s="370"/>
      <c r="M33" s="369" t="n">
        <f aca="false">M19*100/((VLOOKUP(M$16,'Set up'!$A$50:$B$54,2,0)))</f>
        <v>0</v>
      </c>
      <c r="N33" s="370"/>
      <c r="O33" s="369" t="n">
        <f aca="false">O19*100/((VLOOKUP(O$16,'Set up'!$A$50:$B$54,2,0)))</f>
        <v>0</v>
      </c>
      <c r="P33" s="370"/>
      <c r="Q33" s="369" t="n">
        <f aca="false">Q19*100/((VLOOKUP(Q$16,'Set up'!$A$50:$B$54,2,0)))</f>
        <v>0</v>
      </c>
      <c r="R33" s="370"/>
    </row>
    <row r="34" s="42" customFormat="true" ht="14.65" hidden="false" customHeight="false" outlineLevel="0" collapsed="false">
      <c r="E34" s="372" t="str">
        <f aca="false">B20</f>
        <v>R 2yr heifers</v>
      </c>
      <c r="F34" s="373"/>
      <c r="G34" s="374" t="n">
        <f aca="false">G20*(1/INDEX('Set up'!$D$45:$O$45,1,$G$1))</f>
        <v>8.75</v>
      </c>
      <c r="H34" s="375"/>
      <c r="I34" s="381" t="n">
        <f aca="false">I20*100/((VLOOKUP(I$16,'Set up'!$A$50:$B$54,2,0)))</f>
        <v>0</v>
      </c>
      <c r="J34" s="381"/>
      <c r="K34" s="382" t="n">
        <f aca="false">K20*100/((VLOOKUP(K$16,'Set up'!$A$50:$B$54,2,0)))</f>
        <v>0</v>
      </c>
      <c r="L34" s="383"/>
      <c r="M34" s="382" t="n">
        <f aca="false">M20*100/((VLOOKUP(M$16,'Set up'!$A$50:$B$54,2,0)))</f>
        <v>0</v>
      </c>
      <c r="N34" s="383"/>
      <c r="O34" s="382" t="n">
        <f aca="false">O20*100/((VLOOKUP(O$16,'Set up'!$A$50:$B$54,2,0)))</f>
        <v>0</v>
      </c>
      <c r="P34" s="383"/>
      <c r="Q34" s="382" t="n">
        <f aca="false">Q20*100/((VLOOKUP(Q$16,'Set up'!$A$50:$B$54,2,0)))</f>
        <v>0</v>
      </c>
      <c r="R34" s="383"/>
    </row>
    <row r="35" s="42" customFormat="true" ht="14.65" hidden="false" customHeight="false" outlineLevel="0" collapsed="false">
      <c r="E35" s="367" t="str">
        <f aca="false">B21</f>
        <v>Heifer Calves</v>
      </c>
      <c r="F35" s="368"/>
      <c r="G35" s="369" t="n">
        <f aca="false">G21*(1/INDEX('Set up'!$D$45:$O$45,1,$G$1))</f>
        <v>5</v>
      </c>
      <c r="H35" s="370"/>
      <c r="I35" s="371" t="n">
        <f aca="false">I21*100/((VLOOKUP(I$16,'Set up'!$A$50:$B$54,2,0)))</f>
        <v>0</v>
      </c>
      <c r="J35" s="371"/>
      <c r="K35" s="369" t="n">
        <f aca="false">K21*100/((VLOOKUP(K$16,'Set up'!$A$50:$B$54,2,0)))</f>
        <v>0</v>
      </c>
      <c r="L35" s="370"/>
      <c r="M35" s="369" t="n">
        <f aca="false">M21*100/((VLOOKUP(M$16,'Set up'!$A$50:$B$54,2,0)))</f>
        <v>0</v>
      </c>
      <c r="N35" s="370"/>
      <c r="O35" s="369" t="n">
        <f aca="false">O21*100/((VLOOKUP(O$16,'Set up'!$A$50:$B$54,2,0)))</f>
        <v>0</v>
      </c>
      <c r="P35" s="370"/>
      <c r="Q35" s="369" t="n">
        <f aca="false">Q21*100/((VLOOKUP(Q$16,'Set up'!$A$50:$B$54,2,0)))</f>
        <v>0</v>
      </c>
      <c r="R35" s="370"/>
    </row>
    <row r="36" s="42" customFormat="true" ht="14.65" hidden="false" customHeight="false" outlineLevel="0" collapsed="false">
      <c r="E36" s="372" t="str">
        <f aca="false">B22</f>
        <v>Bulls</v>
      </c>
      <c r="F36" s="373"/>
      <c r="G36" s="374" t="n">
        <f aca="false">G22*(1/INDEX('Set up'!$D$45:$O$45,1,$G$1))</f>
        <v>0</v>
      </c>
      <c r="H36" s="375"/>
      <c r="I36" s="381" t="n">
        <f aca="false">I22*100/((VLOOKUP(I$16,'Set up'!$A$50:$B$54,2,0)))</f>
        <v>0</v>
      </c>
      <c r="J36" s="381"/>
      <c r="K36" s="382" t="n">
        <f aca="false">K22*100/((VLOOKUP(K$16,'Set up'!$A$50:$B$54,2,0)))</f>
        <v>0</v>
      </c>
      <c r="L36" s="383"/>
      <c r="M36" s="382" t="n">
        <f aca="false">M22*100/((VLOOKUP(M$16,'Set up'!$A$50:$B$54,2,0)))</f>
        <v>0</v>
      </c>
      <c r="N36" s="383"/>
      <c r="O36" s="382" t="n">
        <f aca="false">O22*100/((VLOOKUP(O$16,'Set up'!$A$50:$B$54,2,0)))</f>
        <v>0</v>
      </c>
      <c r="P36" s="383"/>
      <c r="Q36" s="382" t="n">
        <f aca="false">Q22*100/((VLOOKUP(Q$16,'Set up'!$A$50:$B$54,2,0)))</f>
        <v>0</v>
      </c>
      <c r="R36" s="383"/>
    </row>
    <row r="37" s="42" customFormat="true" ht="14.65" hidden="false" customHeight="false" outlineLevel="0" collapsed="false">
      <c r="E37" s="379" t="str">
        <f aca="false">B23</f>
        <v>Bull Calves</v>
      </c>
      <c r="F37" s="380"/>
      <c r="G37" s="369" t="n">
        <f aca="false">G23*(1/INDEX('Set up'!$D$45:$O$45,1,$G$1))</f>
        <v>0</v>
      </c>
      <c r="H37" s="370"/>
      <c r="I37" s="371" t="n">
        <f aca="false">I23*100/((VLOOKUP(I$16,'Set up'!$A$50:$B$54,2,0)))</f>
        <v>0</v>
      </c>
      <c r="J37" s="371"/>
      <c r="K37" s="369" t="n">
        <f aca="false">K23*100/((VLOOKUP(K$16,'Set up'!$A$50:$B$54,2,0)))</f>
        <v>0</v>
      </c>
      <c r="L37" s="370"/>
      <c r="M37" s="369" t="n">
        <f aca="false">M23*100/((VLOOKUP(M$16,'Set up'!$A$50:$B$54,2,0)))</f>
        <v>0</v>
      </c>
      <c r="N37" s="370"/>
      <c r="O37" s="369" t="n">
        <f aca="false">O23*100/((VLOOKUP(O$16,'Set up'!$A$50:$B$54,2,0)))</f>
        <v>0</v>
      </c>
      <c r="P37" s="370"/>
      <c r="Q37" s="369" t="n">
        <f aca="false">Q23*100/((VLOOKUP(Q$16,'Set up'!$A$50:$B$54,2,0)))</f>
        <v>0</v>
      </c>
      <c r="R37" s="370"/>
    </row>
    <row r="38" s="105" customFormat="true" ht="14.95" hidden="false" customHeight="false" outlineLevel="0" collapsed="false">
      <c r="B38" s="384"/>
      <c r="C38" s="385"/>
      <c r="D38" s="386"/>
      <c r="E38" s="386"/>
      <c r="F38" s="387" t="s">
        <v>192</v>
      </c>
      <c r="G38" s="388" t="n">
        <f aca="false">(($G17*$D17)+($G18*$D18)+($G19*$D19)+($G20*$D20)+($G21*$D21)+($G22*$D22)+($G23*$D23))*(1/INDEX('Set up'!$D45:$O45,1,$G$1))</f>
        <v>4187.5</v>
      </c>
      <c r="H38" s="388"/>
      <c r="I38" s="389" t="n">
        <f aca="false">((I17*$D17)+(I18*$D18)+(I19*$D19)+(I20*$D20)+(I21*$D21)+(I22*$D22)+(I23*$D23))*(100/VLOOKUP($F6,'Set up'!$A$50:$C$54,2,0))</f>
        <v>0</v>
      </c>
      <c r="J38" s="390"/>
      <c r="K38" s="389" t="n">
        <f aca="false">((K17*$D17)+(K18*$D18)+(K19*$D19)+(K20*$D20)+(K21*$D21)+(K22*$D22)+(K23*$D23))*(100/VLOOKUP($F7,'Set up'!$A$50:$C$54,2,0))</f>
        <v>533.333333333333</v>
      </c>
      <c r="L38" s="390"/>
      <c r="M38" s="389" t="n">
        <f aca="false">((M17*$D17)+(M18*$D18)+(M19*$D19)+(M20*$D20)+(M21*$D21)+(M22*$D22)+(M23*$D23))*(100/VLOOKUP($F8,'Set up'!$A$50:$C$54,2,0))</f>
        <v>0</v>
      </c>
      <c r="N38" s="390"/>
      <c r="O38" s="389" t="n">
        <f aca="false">((O17*$D17)+(O18*$D18)+(O19*$D19)+(O20*$D20)+(O21*$D21)+(O22*$D22)+(O23*$D23))*(100/VLOOKUP($F9,'Set up'!$A$50:$C$54,2,0))</f>
        <v>0</v>
      </c>
      <c r="P38" s="390"/>
      <c r="Q38" s="389" t="n">
        <f aca="false">((Q17*$D17)+(Q18*$D18)+(Q19*$D19)+(Q20*$D20)+(Q21*$D21)+(Q22*$D22)+(Q23*$D23))*(100/VLOOKUP($F10,'Set up'!$A$50:$C$54,2,0))</f>
        <v>0</v>
      </c>
      <c r="R38" s="390"/>
      <c r="S38" s="331"/>
    </row>
    <row r="39" s="42" customFormat="true" ht="14.95" hidden="false" customHeight="false" outlineLevel="0" collapsed="false">
      <c r="B39" s="391"/>
      <c r="C39" s="392"/>
      <c r="D39" s="392"/>
      <c r="E39" s="392"/>
      <c r="F39" s="393" t="s">
        <v>193</v>
      </c>
      <c r="G39" s="394" t="n">
        <f aca="false">G38*$C$5</f>
        <v>129812.5</v>
      </c>
      <c r="H39" s="394"/>
      <c r="I39" s="395" t="n">
        <f aca="false">I38*$C$5</f>
        <v>0</v>
      </c>
      <c r="J39" s="396"/>
      <c r="K39" s="395" t="n">
        <f aca="false">K38*$C$5</f>
        <v>16533.3333333333</v>
      </c>
      <c r="L39" s="396"/>
      <c r="M39" s="395" t="n">
        <f aca="false">M38*$C$5</f>
        <v>0</v>
      </c>
      <c r="N39" s="396"/>
      <c r="O39" s="395" t="n">
        <f aca="false">O38*$C$5</f>
        <v>0</v>
      </c>
      <c r="P39" s="396"/>
      <c r="Q39" s="395" t="n">
        <f aca="false">Q38*$C$5</f>
        <v>0</v>
      </c>
      <c r="R39" s="396"/>
    </row>
    <row r="40" s="42" customFormat="true" ht="14.95" hidden="false" customHeight="false" outlineLevel="0" collapsed="false">
      <c r="B40" s="42" t="s">
        <v>194</v>
      </c>
    </row>
    <row r="41" s="42" customFormat="true" ht="14.75" hidden="false" customHeight="true" outlineLevel="0" collapsed="false"/>
    <row r="42" customFormat="false" ht="14.75" hidden="false" customHeight="true" outlineLevel="0" collapsed="false">
      <c r="Q42" s="52"/>
      <c r="R42" s="52"/>
      <c r="S42" s="44"/>
    </row>
    <row r="43" s="42" customFormat="true" ht="32" hidden="false" customHeight="true" outlineLevel="0" collapsed="false">
      <c r="B43" s="208" t="s">
        <v>195</v>
      </c>
    </row>
    <row r="44" s="42" customFormat="true" ht="32" hidden="false" customHeight="true" outlineLevel="0" collapsed="false">
      <c r="B44" s="208"/>
    </row>
    <row r="45" s="42" customFormat="true" ht="14.65" hidden="false" customHeight="false" outlineLevel="0" collapsed="false">
      <c r="B45" s="44"/>
      <c r="C45" s="237"/>
      <c r="D45" s="397"/>
      <c r="E45" s="397"/>
      <c r="F45" s="398" t="s">
        <v>196</v>
      </c>
      <c r="G45" s="399" t="n">
        <f aca="true">IF(G1=1,'Set up'!$D$35,INDIRECT("period"&amp;$G$1-1&amp;"!G46"))</f>
        <v>2968.55070949433</v>
      </c>
      <c r="H45" s="400" t="s">
        <v>197</v>
      </c>
      <c r="I45" s="401"/>
      <c r="J45" s="402"/>
      <c r="K45" s="213" t="str">
        <f aca="false">IF(G1=1,"*NB: For Period1, enter the opening  Av Farm Cover in cell D37 in 'Set up'","NB: Opening av farm cover is the previous period's forecasted closing av farm cover")</f>
        <v>NB: Opening av farm cover is the previous period's forecasted closing av farm cover</v>
      </c>
      <c r="P45" s="44"/>
      <c r="V45" s="345"/>
      <c r="W45" s="2"/>
    </row>
    <row r="46" s="42" customFormat="true" ht="14.65" hidden="false" customHeight="false" outlineLevel="0" collapsed="false">
      <c r="B46" s="44"/>
      <c r="C46" s="403"/>
      <c r="D46" s="404"/>
      <c r="E46" s="404"/>
      <c r="F46" s="405" t="s">
        <v>198</v>
      </c>
      <c r="G46" s="406" t="n">
        <f aca="false">($G$45+ ($C$5*$C$12) -(G39/C11))</f>
        <v>3129.08642378004</v>
      </c>
      <c r="H46" s="407" t="s">
        <v>197</v>
      </c>
      <c r="I46" s="408"/>
      <c r="J46" s="409"/>
      <c r="K46" s="410"/>
      <c r="P46" s="44"/>
    </row>
    <row r="47" s="42" customFormat="true" ht="14.65" hidden="false" customHeight="false" outlineLevel="0" collapsed="false">
      <c r="B47" s="44"/>
      <c r="C47" s="411"/>
      <c r="D47" s="412"/>
      <c r="E47" s="412"/>
      <c r="F47" s="413" t="s">
        <v>199</v>
      </c>
      <c r="G47" s="429" t="n">
        <f aca="false">INDEX('Set up'!$D37:$O37,1,G1)</f>
        <v>2400</v>
      </c>
      <c r="H47" s="415" t="s">
        <v>197</v>
      </c>
      <c r="I47" s="416"/>
      <c r="J47" s="417"/>
      <c r="K47" s="410"/>
      <c r="P47" s="331"/>
      <c r="V47" s="345"/>
    </row>
    <row r="48" s="42" customFormat="true" ht="14.65" hidden="false" customHeight="false" outlineLevel="0" collapsed="false">
      <c r="B48" s="44"/>
      <c r="C48" s="247"/>
      <c r="D48" s="418"/>
      <c r="E48" s="418"/>
      <c r="F48" s="419" t="s">
        <v>200</v>
      </c>
      <c r="G48" s="420" t="n">
        <f aca="false">G46-G47</f>
        <v>729.086423780042</v>
      </c>
      <c r="H48" s="407" t="s">
        <v>197</v>
      </c>
      <c r="I48" s="408"/>
      <c r="J48" s="421"/>
      <c r="K48" s="422" t="s">
        <v>201</v>
      </c>
      <c r="P48" s="331"/>
    </row>
    <row r="49" s="42" customFormat="true" ht="14.65" hidden="false" customHeight="false" outlineLevel="0" collapsed="false">
      <c r="B49" s="44"/>
      <c r="C49" s="269"/>
      <c r="D49" s="423"/>
      <c r="E49" s="423"/>
      <c r="F49" s="424" t="s">
        <v>202</v>
      </c>
      <c r="G49" s="425" t="n">
        <f aca="false">G48*C11</f>
        <v>51036.0496646029</v>
      </c>
      <c r="H49" s="426" t="str">
        <f aca="false">"kg DM total over  nett "&amp;C11&amp;" ha"</f>
        <v>kg DM total over  nett 70 ha</v>
      </c>
      <c r="I49" s="427"/>
      <c r="J49" s="428"/>
      <c r="K49" s="410"/>
      <c r="P49" s="331"/>
      <c r="Q49" s="42" t="str">
        <f aca="false">CONCATENATE(Q43,S43)</f>
        <v/>
      </c>
    </row>
  </sheetData>
  <sheetProtection sheet="true" objects="true" scenarios="true" selectLockedCells="true"/>
  <mergeCells count="1">
    <mergeCell ref="Y15:AD15"/>
  </mergeCells>
  <dataValidations count="4">
    <dataValidation allowBlank="false" operator="equal" showDropDown="false" showErrorMessage="false" showInputMessage="false" sqref="F6 F8:F10" type="list">
      <formula1>'Set up'!$A$50:$A$54</formula1>
      <formula2>0</formula2>
    </dataValidation>
    <dataValidation allowBlank="false" operator="equal" showDropDown="false" showErrorMessage="false" showInputMessage="false" sqref="F7" type="list">
      <formula1>'Set up'!$A$50:$A$54</formula1>
      <formula2>0</formula2>
    </dataValidation>
    <dataValidation allowBlank="true" operator="equal" showDropDown="false" showErrorMessage="false" showInputMessage="false" sqref="B17" type="list">
      <formula1>'Set up'!$B$62:$B$90</formula1>
      <formula2>0</formula2>
    </dataValidation>
    <dataValidation allowBlank="true" operator="equal" showDropDown="false" showErrorMessage="false" showInputMessage="false" sqref="B18:B23" type="list">
      <formula1>'Set up'!$B$62:$B$89</formula1>
      <formula2>0</formula2>
    </dataValidation>
  </dataValidation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&amp;C&amp;"Arial,Regular"&amp;A</oddHeader>
    <oddFooter>&amp;C&amp;"Arial,Regular"Page &amp;P</oddFooter>
  </headerFooter>
  <drawing r:id="rId2"/>
  <legacyDrawing r:id="rId3"/>
</worksheet>
</file>

<file path=xl/worksheets/sheet13.xml><?xml version="1.0" encoding="utf-8"?>
<worksheet xmlns="http://schemas.openxmlformats.org/spreadsheetml/2006/main" xmlns:r="http://schemas.openxmlformats.org/officeDocument/2006/relationships">
  <sheetPr filterMode="false">
    <pageSetUpPr fitToPage="false"/>
  </sheetPr>
  <dimension ref="A1:AD49"/>
  <sheetViews>
    <sheetView showFormulas="false" showGridLines="false" showRowColHeaders="true" showZeros="true" rightToLeft="false" tabSelected="false" showOutlineSymbols="true" defaultGridColor="true" view="normal" topLeftCell="A1" colorId="64" zoomScale="110" zoomScaleNormal="110" zoomScalePageLayoutView="100" workbookViewId="0">
      <selection pane="topLeft" activeCell="B2" activeCellId="0" sqref="B2"/>
    </sheetView>
  </sheetViews>
  <sheetFormatPr defaultRowHeight="14.65" zeroHeight="false" outlineLevelRow="0" outlineLevelCol="0"/>
  <cols>
    <col collapsed="false" customWidth="true" hidden="false" outlineLevel="0" max="1" min="1" style="42" width="4.08"/>
    <col collapsed="false" customWidth="true" hidden="false" outlineLevel="0" max="2" min="2" style="42" width="30.91"/>
    <col collapsed="false" customWidth="true" hidden="false" outlineLevel="0" max="3" min="3" style="42" width="9.88"/>
    <col collapsed="false" customWidth="true" hidden="false" outlineLevel="0" max="4" min="4" style="42" width="10.51"/>
    <col collapsed="false" customWidth="true" hidden="false" outlineLevel="0" max="5" min="5" style="42" width="12.08"/>
    <col collapsed="false" customWidth="true" hidden="false" outlineLevel="0" max="6" min="6" style="42" width="11.76"/>
    <col collapsed="false" customWidth="true" hidden="false" outlineLevel="0" max="7" min="7" style="42" width="10.2"/>
    <col collapsed="false" customWidth="true" hidden="false" outlineLevel="0" max="8" min="8" style="42" width="5.1"/>
    <col collapsed="false" customWidth="true" hidden="false" outlineLevel="0" max="9" min="9" style="42" width="10.2"/>
    <col collapsed="false" customWidth="true" hidden="false" outlineLevel="0" max="10" min="10" style="42" width="5.1"/>
    <col collapsed="false" customWidth="true" hidden="false" outlineLevel="0" max="11" min="11" style="42" width="10.2"/>
    <col collapsed="false" customWidth="true" hidden="false" outlineLevel="0" max="12" min="12" style="42" width="5.1"/>
    <col collapsed="false" customWidth="true" hidden="false" outlineLevel="0" max="13" min="13" style="42" width="10.2"/>
    <col collapsed="false" customWidth="true" hidden="false" outlineLevel="0" max="14" min="14" style="42" width="5.1"/>
    <col collapsed="false" customWidth="true" hidden="false" outlineLevel="0" max="15" min="15" style="42" width="10.2"/>
    <col collapsed="false" customWidth="true" hidden="false" outlineLevel="0" max="16" min="16" style="42" width="5.1"/>
    <col collapsed="false" customWidth="true" hidden="false" outlineLevel="0" max="17" min="17" style="42" width="10.2"/>
    <col collapsed="false" customWidth="true" hidden="false" outlineLevel="0" max="18" min="18" style="42" width="5.1"/>
    <col collapsed="false" customWidth="true" hidden="false" outlineLevel="0" max="19" min="19" style="105" width="4.08"/>
    <col collapsed="false" customWidth="true" hidden="false" outlineLevel="0" max="1025" min="20" style="42" width="13.38"/>
  </cols>
  <sheetData>
    <row r="1" customFormat="false" ht="26.55" hidden="false" customHeight="false" outlineLevel="0" collapsed="false">
      <c r="B1" s="197" t="s">
        <v>151</v>
      </c>
      <c r="C1" s="198" t="str">
        <f aca="false">'Set up'!D4</f>
        <v>Farm A</v>
      </c>
      <c r="D1" s="199"/>
      <c r="E1" s="200"/>
      <c r="F1" s="200" t="s">
        <v>152</v>
      </c>
      <c r="G1" s="201" t="n">
        <v>10</v>
      </c>
      <c r="H1" s="202"/>
      <c r="I1" s="44"/>
      <c r="J1" s="44"/>
      <c r="M1" s="203" t="s">
        <v>153</v>
      </c>
      <c r="N1" s="105"/>
      <c r="O1" s="47"/>
      <c r="P1" s="47"/>
      <c r="S1" s="52"/>
    </row>
    <row r="2" customFormat="false" ht="32.35" hidden="false" customHeight="false" outlineLevel="0" collapsed="false">
      <c r="B2" s="430" t="s">
        <v>2</v>
      </c>
      <c r="C2" s="198"/>
      <c r="D2" s="199"/>
      <c r="E2" s="205"/>
      <c r="F2" s="206" t="s">
        <v>154</v>
      </c>
      <c r="I2" s="56"/>
      <c r="J2" s="56"/>
      <c r="K2" s="207"/>
      <c r="L2" s="207"/>
      <c r="M2" s="44"/>
      <c r="N2" s="44"/>
      <c r="O2" s="47"/>
      <c r="P2" s="47"/>
      <c r="S2" s="52"/>
    </row>
    <row r="3" s="42" customFormat="true" ht="26.45" hidden="false" customHeight="false" outlineLevel="0" collapsed="false">
      <c r="B3" s="208" t="s">
        <v>155</v>
      </c>
      <c r="D3" s="56"/>
      <c r="I3" s="209" t="s">
        <v>156</v>
      </c>
      <c r="J3" s="210"/>
    </row>
    <row r="4" s="42" customFormat="true" ht="14.65" hidden="false" customHeight="false" outlineLevel="0" collapsed="false">
      <c r="B4" s="211" t="s">
        <v>157</v>
      </c>
      <c r="C4" s="212" t="n">
        <f aca="false">HLOOKUP($G$1,'Set up'!$D$12:$O$15,3,0)</f>
        <v>43466</v>
      </c>
      <c r="D4" s="213"/>
      <c r="F4" s="214"/>
      <c r="G4" s="215" t="s">
        <v>158</v>
      </c>
      <c r="H4" s="216"/>
      <c r="I4" s="217" t="s">
        <v>159</v>
      </c>
      <c r="J4" s="216"/>
      <c r="K4" s="218" t="s">
        <v>160</v>
      </c>
      <c r="L4" s="219"/>
      <c r="M4" s="220" t="s">
        <v>161</v>
      </c>
      <c r="N4" s="221"/>
      <c r="O4" s="105"/>
      <c r="P4" s="222"/>
      <c r="Q4" s="105"/>
      <c r="R4" s="105"/>
    </row>
    <row r="5" s="42" customFormat="true" ht="14.65" hidden="false" customHeight="false" outlineLevel="0" collapsed="false">
      <c r="B5" s="223" t="s">
        <v>162</v>
      </c>
      <c r="C5" s="224" t="n">
        <f aca="false">HLOOKUP($G$1,'Set up'!$D$12:$O$15,4,0)</f>
        <v>31</v>
      </c>
      <c r="D5" s="199"/>
      <c r="F5" s="222" t="s">
        <v>163</v>
      </c>
      <c r="G5" s="225" t="s">
        <v>164</v>
      </c>
      <c r="H5" s="226"/>
      <c r="I5" s="227" t="s">
        <v>165</v>
      </c>
      <c r="J5" s="227"/>
      <c r="K5" s="228" t="s">
        <v>165</v>
      </c>
      <c r="L5" s="229"/>
      <c r="M5" s="230" t="s">
        <v>164</v>
      </c>
      <c r="N5" s="231"/>
      <c r="O5" s="222"/>
      <c r="P5" s="222"/>
      <c r="Q5" s="105"/>
      <c r="R5" s="232"/>
    </row>
    <row r="6" s="42" customFormat="true" ht="14.65" hidden="false" customHeight="false" outlineLevel="0" collapsed="false">
      <c r="B6" s="233" t="s">
        <v>166</v>
      </c>
      <c r="C6" s="234" t="n">
        <f aca="false">C4+C5</f>
        <v>43497</v>
      </c>
      <c r="D6" s="199"/>
      <c r="F6" s="235" t="s">
        <v>131</v>
      </c>
      <c r="G6" s="236" t="n">
        <f aca="false">IF($G$1=1, VLOOKUP(F6,'Set up'!$A$50:$D$54,3,0),VLOOKUP(F6,'Set up'!$A$50:$O$54,$G$1+2,0))</f>
        <v>92952.9411764706</v>
      </c>
      <c r="H6" s="237"/>
      <c r="I6" s="238" t="n">
        <f aca="false">(($D$17*I$17*$C$5)+($D$18*I$18*$C$5)+($D$19*I$19*$C$5)+($D$20*I$20*$C$5)+($D$21*I$21*$C$5)+($D$22*I$22*$C$5)+($D$23*I$23*$C$5))*(100/VLOOKUP(F6,'Set up'!$A$50:$C$54,2,0))</f>
        <v>0</v>
      </c>
      <c r="J6" s="239"/>
      <c r="K6" s="240" t="n">
        <v>70000</v>
      </c>
      <c r="L6" s="237"/>
      <c r="M6" s="241" t="n">
        <f aca="false">G6-I6+K6</f>
        <v>162952.941176471</v>
      </c>
      <c r="N6" s="242"/>
      <c r="O6" s="44"/>
      <c r="P6" s="44"/>
      <c r="Q6" s="105"/>
      <c r="R6" s="243"/>
    </row>
    <row r="7" s="42" customFormat="true" ht="14.65" hidden="false" customHeight="false" outlineLevel="0" collapsed="false">
      <c r="B7" s="244"/>
      <c r="C7" s="213"/>
      <c r="F7" s="245" t="s">
        <v>129</v>
      </c>
      <c r="G7" s="246" t="n">
        <f aca="false">IF($G$1=1, VLOOKUP(F7,'Set up'!$A$50:$D$54,3,0),VLOOKUP(F7,'Set up'!$A$50:$O$54,$G$1+2,0))</f>
        <v>72173.3333333333</v>
      </c>
      <c r="H7" s="247"/>
      <c r="I7" s="248" t="n">
        <f aca="false">((($D$17*K$17*$C$5)+($D$18*K$18*$C$5)+($D$19*K$19*$C$5)+($D$20*K$20*$C$5)+($D$21*K$21*$C$5)+($D$22*K$22*$C$5)+($D$23*K$23*$C$5)))*(100/VLOOKUP(F7,'Set up'!$A$50:$C$54,2,0))</f>
        <v>0</v>
      </c>
      <c r="J7" s="249"/>
      <c r="K7" s="250" t="n">
        <v>0</v>
      </c>
      <c r="L7" s="247"/>
      <c r="M7" s="251" t="n">
        <f aca="false">G7-I7+K7</f>
        <v>72173.3333333333</v>
      </c>
      <c r="N7" s="252"/>
      <c r="O7" s="44"/>
      <c r="P7" s="44"/>
      <c r="Q7" s="105"/>
      <c r="R7" s="243"/>
    </row>
    <row r="8" s="42" customFormat="true" ht="14.65" hidden="false" customHeight="false" outlineLevel="0" collapsed="false">
      <c r="B8" s="253" t="s">
        <v>167</v>
      </c>
      <c r="C8" s="254" t="n">
        <f aca="false">'Set up'!D7</f>
        <v>100</v>
      </c>
      <c r="D8" s="255" t="s">
        <v>168</v>
      </c>
      <c r="F8" s="256" t="s">
        <v>130</v>
      </c>
      <c r="G8" s="236" t="n">
        <f aca="false">IF($G$1=1, VLOOKUP(F8,'Set up'!$A$50:$D$54,3,0),VLOOKUP(F8,'Set up'!$A$50:$O$54,$G$1+2,0))</f>
        <v>0</v>
      </c>
      <c r="H8" s="257"/>
      <c r="I8" s="258" t="n">
        <f aca="false">(($D$17*M$17*$C$5)+($D$18*M$18*$C$5)+($D$19*M$19*$C$5)+($D$20*M$20*$C$5)+($D$21*M$21*$C$5)+($D$22*M$22*$C$5)+($D$23*M$23*$C$5))*(100/VLOOKUP(F8,'Set up'!$A$50:$C$54,2,0))</f>
        <v>0</v>
      </c>
      <c r="J8" s="259"/>
      <c r="K8" s="260" t="n">
        <v>0</v>
      </c>
      <c r="L8" s="257"/>
      <c r="M8" s="241" t="n">
        <f aca="false">G8-I8+K8</f>
        <v>0</v>
      </c>
      <c r="N8" s="261"/>
      <c r="O8" s="44"/>
      <c r="P8" s="44"/>
      <c r="Q8" s="105"/>
      <c r="R8" s="243"/>
      <c r="T8" s="262"/>
    </row>
    <row r="9" s="42" customFormat="true" ht="14.65" hidden="false" customHeight="false" outlineLevel="0" collapsed="false">
      <c r="B9" s="263" t="s">
        <v>169</v>
      </c>
      <c r="C9" s="264" t="n">
        <v>15</v>
      </c>
      <c r="D9" s="265" t="n">
        <f aca="true">IF($G$1&lt;&gt;1,INDIRECT("period"&amp;$G$1-1&amp;"!c9"),0)</f>
        <v>0</v>
      </c>
      <c r="F9" s="245" t="s">
        <v>132</v>
      </c>
      <c r="G9" s="246" t="n">
        <f aca="false">IF($G$1=1, VLOOKUP(F9,'Set up'!$A$50:$D$54,3,0),VLOOKUP(F9,'Set up'!$A$50:$O$54,$G$1+2,0))</f>
        <v>0</v>
      </c>
      <c r="H9" s="247"/>
      <c r="I9" s="248" t="n">
        <f aca="false">(($D$17*O$17*$C$5)+($D$18*O$18*$C$5)+($D$19*O$19*$C$5)+($D$20*O$20*$C$5)+($D$21*O$21*$C$5)+($D$22*O$22*$C$5)+($D$23*O$23*$C$5))*(100/VLOOKUP(F9,'Set up'!$A$50:$C$54,2,0))</f>
        <v>0</v>
      </c>
      <c r="J9" s="249"/>
      <c r="K9" s="250" t="n">
        <v>0</v>
      </c>
      <c r="L9" s="247"/>
      <c r="M9" s="251" t="n">
        <f aca="false">G9-I9+K9</f>
        <v>0</v>
      </c>
      <c r="N9" s="252"/>
      <c r="O9" s="44"/>
      <c r="P9" s="44"/>
      <c r="Q9" s="105"/>
      <c r="R9" s="243"/>
    </row>
    <row r="10" s="42" customFormat="true" ht="14.65" hidden="false" customHeight="false" outlineLevel="0" collapsed="false">
      <c r="B10" s="263" t="s">
        <v>170</v>
      </c>
      <c r="C10" s="266" t="n">
        <v>0</v>
      </c>
      <c r="D10" s="265" t="n">
        <f aca="true">IF($G$1&lt;&gt;1,INDIRECT("period"&amp;$G$1-1&amp;"!c10"),0)</f>
        <v>30</v>
      </c>
      <c r="F10" s="267" t="s">
        <v>133</v>
      </c>
      <c r="G10" s="268" t="n">
        <f aca="false">IF($G$1=1, VLOOKUP(F10,'Set up'!$A$50:$D$54,3,0),VLOOKUP(F10,'Set up'!$A$50:$O$54,$G$1+2,0))</f>
        <v>831.578947368422</v>
      </c>
      <c r="H10" s="269"/>
      <c r="I10" s="270" t="n">
        <f aca="false">(($D$17*Q$17*$C$5)+($D$18*Q$18*$C$5)+($D$19*Q$19*$C$5)+($D$20*Q$20*$C$5)+($D$21*Q$21*$C$5)+($D$22*Q$22*$C$5)+($D$23*Q$23*$C$5))*(100/VLOOKUP(F10,'Set up'!$A$50:$C$54,2,0))</f>
        <v>0</v>
      </c>
      <c r="J10" s="271"/>
      <c r="K10" s="272" t="n">
        <v>0</v>
      </c>
      <c r="L10" s="269"/>
      <c r="M10" s="273" t="n">
        <f aca="false">G10-I10+K10</f>
        <v>831.578947368422</v>
      </c>
      <c r="N10" s="274"/>
      <c r="O10" s="44"/>
      <c r="P10" s="44"/>
      <c r="Q10" s="105"/>
      <c r="R10" s="243"/>
    </row>
    <row r="11" s="42" customFormat="true" ht="14.65" hidden="false" customHeight="false" outlineLevel="0" collapsed="false">
      <c r="B11" s="275" t="s">
        <v>171</v>
      </c>
      <c r="C11" s="276" t="n">
        <f aca="false">C8-C9-C10</f>
        <v>85</v>
      </c>
      <c r="D11" s="265" t="n">
        <f aca="true">IF($G$1&lt;&gt;1,INDIRECT("period"&amp;$G$1-1&amp;"!c11"),0)</f>
        <v>70</v>
      </c>
      <c r="F11" s="42" t="s">
        <v>172</v>
      </c>
    </row>
    <row r="12" s="42" customFormat="true" ht="14.65" hidden="false" customHeight="false" outlineLevel="0" collapsed="false">
      <c r="A12" s="44"/>
      <c r="B12" s="277" t="s">
        <v>173</v>
      </c>
      <c r="C12" s="278" t="n">
        <f aca="false">INDEX('Set up'!D30:O30,1,G1)</f>
        <v>50</v>
      </c>
      <c r="D12" s="279" t="s">
        <v>174</v>
      </c>
      <c r="E12" s="44"/>
      <c r="F12" s="105" t="s">
        <v>175</v>
      </c>
      <c r="G12" s="105"/>
      <c r="H12" s="105"/>
      <c r="I12" s="105"/>
      <c r="J12" s="105"/>
    </row>
    <row r="13" s="42" customFormat="true" ht="14.65" hidden="false" customHeight="false" outlineLevel="0" collapsed="false">
      <c r="B13" s="2"/>
      <c r="C13" s="2"/>
      <c r="D13" s="2"/>
    </row>
    <row r="14" s="42" customFormat="true" ht="14.65" hidden="false" customHeight="false" outlineLevel="0" collapsed="false">
      <c r="B14" s="2"/>
      <c r="C14" s="2"/>
      <c r="D14" s="2"/>
      <c r="F14" s="280"/>
    </row>
    <row r="15" s="42" customFormat="true" ht="57.25" hidden="false" customHeight="true" outlineLevel="0" collapsed="false">
      <c r="B15" s="208" t="s">
        <v>176</v>
      </c>
      <c r="C15" s="281"/>
      <c r="D15" s="282"/>
      <c r="G15" s="283" t="s">
        <v>177</v>
      </c>
      <c r="N15" s="284"/>
      <c r="Y15" s="285"/>
      <c r="Z15" s="285"/>
      <c r="AA15" s="285"/>
      <c r="AB15" s="285"/>
      <c r="AC15" s="285"/>
      <c r="AD15" s="285"/>
    </row>
    <row r="16" customFormat="false" ht="47.7" hidden="false" customHeight="true" outlineLevel="0" collapsed="false">
      <c r="B16" s="286" t="s">
        <v>178</v>
      </c>
      <c r="C16" s="287" t="s">
        <v>179</v>
      </c>
      <c r="D16" s="288" t="s">
        <v>180</v>
      </c>
      <c r="E16" s="289" t="s">
        <v>181</v>
      </c>
      <c r="F16" s="290" t="s">
        <v>182</v>
      </c>
      <c r="G16" s="291" t="s">
        <v>123</v>
      </c>
      <c r="H16" s="292" t="s">
        <v>183</v>
      </c>
      <c r="I16" s="293" t="str">
        <f aca="false">F6</f>
        <v>Meadow Hay</v>
      </c>
      <c r="J16" s="294" t="s">
        <v>183</v>
      </c>
      <c r="K16" s="295" t="str">
        <f aca="false">F7</f>
        <v>Pasture Silage</v>
      </c>
      <c r="L16" s="292" t="s">
        <v>183</v>
      </c>
      <c r="M16" s="293" t="str">
        <f aca="false">F8</f>
        <v>Maize Silage</v>
      </c>
      <c r="N16" s="294" t="s">
        <v>183</v>
      </c>
      <c r="O16" s="295" t="str">
        <f aca="false">F9</f>
        <v>Crop</v>
      </c>
      <c r="P16" s="292" t="s">
        <v>183</v>
      </c>
      <c r="Q16" s="293" t="str">
        <f aca="false">F10</f>
        <v>Meal</v>
      </c>
      <c r="R16" s="294" t="s">
        <v>183</v>
      </c>
      <c r="S16" s="296"/>
    </row>
    <row r="17" customFormat="false" ht="14.65" hidden="false" customHeight="false" outlineLevel="0" collapsed="false">
      <c r="B17" s="297" t="s">
        <v>138</v>
      </c>
      <c r="C17" s="298" t="n">
        <f aca="false">VLOOKUP(B17,'Set up'!$B$62:$O$89,2+$G$1,FALSE())</f>
        <v>250</v>
      </c>
      <c r="D17" s="299" t="n">
        <v>200</v>
      </c>
      <c r="E17" s="300" t="str">
        <f aca="false">TRIM(CLEAN(INDEX('Set up'!$D$63:$O$87,MATCH(B17,'Set up'!$B$62:$B$89,0),+$G$1)))</f>
        <v>16</v>
      </c>
      <c r="F17" s="301" t="n">
        <f aca="false">G17+I17+K17+M17+O17+Q17</f>
        <v>16</v>
      </c>
      <c r="G17" s="302" t="n">
        <v>16</v>
      </c>
      <c r="H17" s="303" t="n">
        <f aca="true">IF($G$1&lt;&gt;1,INDIRECT("period"&amp;$G$1-1&amp;"!G17"),0)</f>
        <v>14</v>
      </c>
      <c r="I17" s="302" t="n">
        <v>0</v>
      </c>
      <c r="J17" s="303" t="n">
        <f aca="true">IF($G$1&lt;&gt;1,INDIRECT("period"&amp;$G$1-1&amp;"!I17"),0)</f>
        <v>0</v>
      </c>
      <c r="K17" s="302" t="n">
        <v>0</v>
      </c>
      <c r="L17" s="303" t="n">
        <f aca="true">IF($G$1&lt;&gt;1,INDIRECT("period"&amp;$G$1-1&amp;"!K17"),0)</f>
        <v>2</v>
      </c>
      <c r="M17" s="302" t="n">
        <v>0</v>
      </c>
      <c r="N17" s="303" t="n">
        <f aca="true">IF($G$1&lt;&gt;1,INDIRECT("period"&amp;$G$1-1&amp;"!M17"),0)</f>
        <v>0</v>
      </c>
      <c r="O17" s="302" t="n">
        <v>0</v>
      </c>
      <c r="P17" s="303" t="n">
        <f aca="true">IF($G$1&lt;&gt;1,INDIRECT("period"&amp;$G$1-1&amp;"!O17"),0)</f>
        <v>0</v>
      </c>
      <c r="Q17" s="304" t="n">
        <v>0</v>
      </c>
      <c r="R17" s="305" t="n">
        <f aca="true">IF($G$1&lt;&gt;1,INDIRECT("period"&amp;$G$1-1&amp;"!Q17"),0)</f>
        <v>0</v>
      </c>
      <c r="S17" s="306"/>
    </row>
    <row r="18" customFormat="false" ht="14.65" hidden="false" customHeight="false" outlineLevel="0" collapsed="false">
      <c r="B18" s="307" t="s">
        <v>142</v>
      </c>
      <c r="C18" s="308" t="n">
        <f aca="false">VLOOKUP(B18,'Set up'!$B$62:$O$89,2+$G$1,FALSE())</f>
        <v>0</v>
      </c>
      <c r="D18" s="309" t="n">
        <v>0</v>
      </c>
      <c r="E18" s="310" t="str">
        <f aca="false">TRIM(CLEAN(INDEX('Set up'!$D$63:$O$87,MATCH(B18,'Set up'!$B$62:$B$89,0),+$G$1)))</f>
        <v>0</v>
      </c>
      <c r="F18" s="311" t="n">
        <f aca="false">G18+I18+K18+M18+O18+Q18</f>
        <v>0</v>
      </c>
      <c r="G18" s="312" t="n">
        <v>0</v>
      </c>
      <c r="H18" s="313" t="n">
        <f aca="true">IF($G$1&lt;&gt;1,INDIRECT("period"&amp;$G$1-1&amp;"!G18"),0)</f>
        <v>0</v>
      </c>
      <c r="I18" s="312" t="n">
        <v>0</v>
      </c>
      <c r="J18" s="313" t="n">
        <f aca="true">IF($G$1&lt;&gt;1,INDIRECT("period"&amp;$G$1-1&amp;"!I18"),0)</f>
        <v>0</v>
      </c>
      <c r="K18" s="312" t="n">
        <v>0</v>
      </c>
      <c r="L18" s="313" t="n">
        <f aca="true">IF($G$1&lt;&gt;1,INDIRECT("period"&amp;$G$1-1&amp;"!K18"),0)</f>
        <v>0</v>
      </c>
      <c r="M18" s="312" t="n">
        <v>0</v>
      </c>
      <c r="N18" s="313" t="n">
        <f aca="true">IF($G$1&lt;&gt;1,INDIRECT("period"&amp;$G$1-1&amp;"!M18"),0)</f>
        <v>0</v>
      </c>
      <c r="O18" s="312" t="n">
        <v>0</v>
      </c>
      <c r="P18" s="313" t="n">
        <f aca="true">IF($G$1&lt;&gt;1,INDIRECT("period"&amp;$G$1-1&amp;"!O18"),0)</f>
        <v>0</v>
      </c>
      <c r="Q18" s="312" t="n">
        <v>0</v>
      </c>
      <c r="R18" s="313" t="n">
        <f aca="true">IF($G$1&lt;&gt;1,INDIRECT("period"&amp;$G$1-1&amp;"!Q18"),0)</f>
        <v>0</v>
      </c>
      <c r="S18" s="306"/>
    </row>
    <row r="19" customFormat="false" ht="14.65" hidden="false" customHeight="false" outlineLevel="0" collapsed="false">
      <c r="B19" s="314" t="s">
        <v>143</v>
      </c>
      <c r="C19" s="308" t="n">
        <f aca="false">VLOOKUP(B19,'Set up'!$B$62:$O$89,2+$G$1,FALSE())</f>
        <v>0</v>
      </c>
      <c r="D19" s="315" t="n">
        <v>0</v>
      </c>
      <c r="E19" s="316" t="str">
        <f aca="false">TRIM(CLEAN(INDEX('Set up'!$D$63:$O$87,MATCH(B19,'Set up'!$B$62:$B$89,0),+$G$1)))</f>
        <v>0</v>
      </c>
      <c r="F19" s="317" t="n">
        <f aca="false">G19+I19+K19+M19+O19+Q19</f>
        <v>0</v>
      </c>
      <c r="G19" s="304" t="n">
        <v>0</v>
      </c>
      <c r="H19" s="305" t="n">
        <f aca="true">IF($G$1&lt;&gt;1,INDIRECT("period"&amp;$G$1-1&amp;"!G19"),0)</f>
        <v>0</v>
      </c>
      <c r="I19" s="304" t="n">
        <v>0</v>
      </c>
      <c r="J19" s="305" t="n">
        <f aca="true">IF($G$1&lt;&gt;1,INDIRECT("period"&amp;$G$1-1&amp;"!I19"),0)</f>
        <v>0</v>
      </c>
      <c r="K19" s="304" t="n">
        <v>0</v>
      </c>
      <c r="L19" s="305" t="n">
        <f aca="true">IF($G$1&lt;&gt;1,INDIRECT("period"&amp;$G$1-1&amp;"!K19"),0)</f>
        <v>0</v>
      </c>
      <c r="M19" s="304" t="n">
        <v>0</v>
      </c>
      <c r="N19" s="305" t="n">
        <f aca="true">IF($G$1&lt;&gt;1,INDIRECT("period"&amp;$G$1-1&amp;"!G19"),0)</f>
        <v>0</v>
      </c>
      <c r="O19" s="304" t="n">
        <v>0</v>
      </c>
      <c r="P19" s="305" t="n">
        <f aca="true">IF($G$1&lt;&gt;1,INDIRECT("period"&amp;$G$1-1&amp;"!O19"),0)</f>
        <v>0</v>
      </c>
      <c r="Q19" s="304" t="n">
        <v>0</v>
      </c>
      <c r="R19" s="305" t="n">
        <f aca="true">IF($G$1&lt;&gt;1,INDIRECT("period"&amp;$G$1-1&amp;"!Q19"),0)</f>
        <v>0</v>
      </c>
      <c r="S19" s="306"/>
    </row>
    <row r="20" customFormat="false" ht="14.65" hidden="false" customHeight="false" outlineLevel="0" collapsed="false">
      <c r="B20" s="307" t="s">
        <v>144</v>
      </c>
      <c r="C20" s="308" t="n">
        <f aca="false">VLOOKUP(B20,'Set up'!$B$62:$O$89,2+$G$1,FALSE())</f>
        <v>50</v>
      </c>
      <c r="D20" s="318" t="n">
        <v>50</v>
      </c>
      <c r="E20" s="310" t="str">
        <f aca="false">TRIM(CLEAN(INDEX('Set up'!$D$63:$O$87,MATCH(B20,'Set up'!$B$62:$B$89,0),+$G$1)))</f>
        <v>7</v>
      </c>
      <c r="F20" s="311" t="n">
        <f aca="false">G20+I20+K20+M20+O20+Q20</f>
        <v>7</v>
      </c>
      <c r="G20" s="312" t="n">
        <v>7</v>
      </c>
      <c r="H20" s="313" t="n">
        <f aca="true">IF($G$1&lt;&gt;1,INDIRECT("period"&amp;$G$1-1&amp;"!G20"),0)</f>
        <v>7</v>
      </c>
      <c r="I20" s="312" t="n">
        <v>0</v>
      </c>
      <c r="J20" s="313" t="n">
        <f aca="true">IF($G$1&lt;&gt;1,INDIRECT("period"&amp;$G$1-1&amp;"!I27"),0)</f>
        <v>0</v>
      </c>
      <c r="K20" s="312" t="n">
        <v>0</v>
      </c>
      <c r="L20" s="313" t="n">
        <f aca="true">IF($G$1&lt;&gt;1,INDIRECT("period"&amp;$G$1-1&amp;"!K20"),0)</f>
        <v>0</v>
      </c>
      <c r="M20" s="312" t="n">
        <v>0</v>
      </c>
      <c r="N20" s="313" t="n">
        <f aca="true">IF($G$1&lt;&gt;1,INDIRECT("period"&amp;$G$1-1&amp;"!M20"),0)</f>
        <v>0</v>
      </c>
      <c r="O20" s="312" t="n">
        <v>0</v>
      </c>
      <c r="P20" s="313" t="n">
        <f aca="true">IF($G$1&lt;&gt;1,INDIRECT("period"&amp;$G$1-1&amp;"!O20"),0)</f>
        <v>0</v>
      </c>
      <c r="Q20" s="312" t="n">
        <v>0</v>
      </c>
      <c r="R20" s="313" t="n">
        <f aca="true">IF($G$1&lt;&gt;1,INDIRECT("period"&amp;$G$1-1&amp;"!Q20"),0)</f>
        <v>0</v>
      </c>
      <c r="S20" s="306"/>
    </row>
    <row r="21" customFormat="false" ht="14.65" hidden="false" customHeight="false" outlineLevel="0" collapsed="false">
      <c r="B21" s="314" t="s">
        <v>145</v>
      </c>
      <c r="C21" s="308" t="n">
        <f aca="false">VLOOKUP(B21,'Set up'!$B$62:$O$89,2+$G$1,FALSE())</f>
        <v>50</v>
      </c>
      <c r="D21" s="315" t="n">
        <v>50</v>
      </c>
      <c r="E21" s="316" t="str">
        <f aca="false">TRIM(CLEAN(INDEX('Set up'!$D$63:$O$87,MATCH(B21,'Set up'!$B$62:$B$89,0),+$G$1)))</f>
        <v>4</v>
      </c>
      <c r="F21" s="317" t="n">
        <f aca="false">G21+I21+K21+M21+O21+Q21</f>
        <v>4</v>
      </c>
      <c r="G21" s="304" t="n">
        <v>4</v>
      </c>
      <c r="H21" s="305" t="n">
        <f aca="true">IF($G$1&lt;&gt;1,INDIRECT("period"&amp;$G$1-1&amp;"!G21"),0)</f>
        <v>4</v>
      </c>
      <c r="I21" s="304" t="n">
        <v>0</v>
      </c>
      <c r="J21" s="305" t="n">
        <f aca="true">IF($G$1&lt;&gt;1,INDIRECT("period"&amp;$G$1-1&amp;"!I21"),0)</f>
        <v>0</v>
      </c>
      <c r="K21" s="304" t="n">
        <v>0</v>
      </c>
      <c r="L21" s="305" t="n">
        <f aca="true">IF($G$1&lt;&gt;1,INDIRECT("period"&amp;$G$1-1&amp;"!K21"),0)</f>
        <v>0</v>
      </c>
      <c r="M21" s="304" t="n">
        <v>0</v>
      </c>
      <c r="N21" s="305" t="n">
        <f aca="true">IF($G$1&lt;&gt;1,INDIRECT("period"&amp;$G$1-1&amp;"!M21"),0)</f>
        <v>0</v>
      </c>
      <c r="O21" s="304" t="n">
        <v>0</v>
      </c>
      <c r="P21" s="305" t="n">
        <f aca="true">IF($G$1&lt;&gt;1,INDIRECT("period"&amp;$G$1-1&amp;"!O21"),0)</f>
        <v>0</v>
      </c>
      <c r="Q21" s="304" t="n">
        <v>0</v>
      </c>
      <c r="R21" s="305" t="n">
        <f aca="true">IF($G$1&lt;&gt;1,INDIRECT("period"&amp;$G$1-1&amp;"!Q21"),0)</f>
        <v>0</v>
      </c>
      <c r="S21" s="319"/>
    </row>
    <row r="22" customFormat="false" ht="14.65" hidden="false" customHeight="false" outlineLevel="0" collapsed="false">
      <c r="B22" s="307" t="s">
        <v>147</v>
      </c>
      <c r="C22" s="308" t="n">
        <f aca="false">VLOOKUP(B22,'Set up'!$B$62:$O$89,2+$G$1,FALSE())</f>
        <v>0</v>
      </c>
      <c r="D22" s="318" t="n">
        <v>0</v>
      </c>
      <c r="E22" s="310" t="str">
        <f aca="false">TRIM(CLEAN(INDEX('Set up'!$D$63:$O$87,MATCH(B22,'Set up'!$B$62:$B$89,0),+$G$1)))</f>
        <v>0</v>
      </c>
      <c r="F22" s="311" t="n">
        <f aca="false">G22+I22+K22+M22+O22+Q22</f>
        <v>0</v>
      </c>
      <c r="G22" s="312" t="n">
        <v>0</v>
      </c>
      <c r="H22" s="313" t="n">
        <f aca="true">IF($G$1&lt;&gt;1,INDIRECT("period"&amp;$G$1-1&amp;"!G22"),0)</f>
        <v>0</v>
      </c>
      <c r="I22" s="312" t="n">
        <v>0</v>
      </c>
      <c r="J22" s="313" t="n">
        <f aca="true">IF($G$1&lt;&gt;1,INDIRECT("period"&amp;$G$1-1&amp;"!i22"),0)</f>
        <v>0</v>
      </c>
      <c r="K22" s="312" t="n">
        <v>0</v>
      </c>
      <c r="L22" s="313" t="n">
        <f aca="true">IF($G$1&lt;&gt;1,INDIRECT("period"&amp;$G$1-1&amp;"!G22"),0)</f>
        <v>0</v>
      </c>
      <c r="M22" s="312" t="n">
        <v>0</v>
      </c>
      <c r="N22" s="313" t="n">
        <f aca="true">IF($G$1&lt;&gt;1,INDIRECT("period"&amp;$G$1-1&amp;"!M22"),0)</f>
        <v>0</v>
      </c>
      <c r="O22" s="312" t="n">
        <v>0</v>
      </c>
      <c r="P22" s="313" t="n">
        <f aca="true">IF($G$1&lt;&gt;1,INDIRECT("period"&amp;$G$1-1&amp;"!O22"),0)</f>
        <v>0</v>
      </c>
      <c r="Q22" s="312" t="n">
        <v>0</v>
      </c>
      <c r="R22" s="313" t="n">
        <f aca="true">IF($G$1&lt;&gt;1,INDIRECT("period"&amp;$G$1-1&amp;"!Q22"),0)</f>
        <v>0</v>
      </c>
      <c r="S22" s="306"/>
    </row>
    <row r="23" customFormat="false" ht="14.65" hidden="false" customHeight="false" outlineLevel="0" collapsed="false">
      <c r="B23" s="320" t="s">
        <v>146</v>
      </c>
      <c r="C23" s="321" t="n">
        <f aca="false">VLOOKUP(B23,'Set up'!$B$62:$O$89,2+$G$1,FALSE())</f>
        <v>0</v>
      </c>
      <c r="D23" s="322" t="n">
        <v>0</v>
      </c>
      <c r="E23" s="323" t="str">
        <f aca="false">TRIM(CLEAN(INDEX('Set up'!$D$63:$O$87,MATCH(B23,'Set up'!$B$62:$B$89,0),+$G$1)))</f>
        <v>0</v>
      </c>
      <c r="F23" s="324" t="n">
        <f aca="false">G23+I23+K23+M23+O23+Q23</f>
        <v>0</v>
      </c>
      <c r="G23" s="325" t="n">
        <v>0</v>
      </c>
      <c r="H23" s="326" t="n">
        <f aca="true">IF($G$1&lt;&gt;1,INDIRECT("period"&amp;$G$1-1&amp;"!G23"),0)</f>
        <v>0</v>
      </c>
      <c r="I23" s="325" t="n">
        <v>0</v>
      </c>
      <c r="J23" s="326" t="n">
        <f aca="true">IF($G$1&lt;&gt;1,INDIRECT("period"&amp;$G$1-1&amp;"!I23"),0)</f>
        <v>0</v>
      </c>
      <c r="K23" s="325" t="n">
        <v>0</v>
      </c>
      <c r="L23" s="326" t="n">
        <f aca="true">IF($G$1&lt;&gt;1,INDIRECT("period"&amp;$G$1-1&amp;"!K23"),0)</f>
        <v>0</v>
      </c>
      <c r="M23" s="325" t="n">
        <v>0</v>
      </c>
      <c r="N23" s="326" t="n">
        <f aca="true">IF($G$1&lt;&gt;1,INDIRECT("period"&amp;$G$1-1&amp;"!M23"),0)</f>
        <v>0</v>
      </c>
      <c r="O23" s="325" t="n">
        <v>0</v>
      </c>
      <c r="P23" s="326" t="n">
        <f aca="true">IF($G$1&lt;&gt;1,INDIRECT("period"&amp;$G$1-1&amp;"!G23"),0)</f>
        <v>0</v>
      </c>
      <c r="Q23" s="325" t="n">
        <v>0</v>
      </c>
      <c r="R23" s="326" t="n">
        <f aca="true">IF($G$1&lt;&gt;1,INDIRECT("period"&amp;$G$1-1&amp;"!Q23"),0)</f>
        <v>0</v>
      </c>
      <c r="S23" s="306"/>
    </row>
    <row r="24" customFormat="false" ht="14.65" hidden="false" customHeight="false" outlineLevel="0" collapsed="false">
      <c r="B24" s="327" t="s">
        <v>184</v>
      </c>
      <c r="C24" s="328" t="n">
        <f aca="false">SUM(C17:C23)</f>
        <v>350</v>
      </c>
      <c r="D24" s="329" t="n">
        <f aca="false">SUM(D17:D23)</f>
        <v>300</v>
      </c>
      <c r="E24" s="330"/>
      <c r="F24" s="330"/>
      <c r="S24" s="331"/>
    </row>
    <row r="25" customFormat="false" ht="14.65" hidden="false" customHeight="false" outlineLevel="0" collapsed="false">
      <c r="B25" s="332"/>
      <c r="C25" s="333"/>
      <c r="D25" s="334"/>
      <c r="E25" s="330"/>
      <c r="F25" s="330"/>
      <c r="H25" s="335"/>
      <c r="I25" s="336"/>
      <c r="J25" s="337" t="s">
        <v>185</v>
      </c>
      <c r="K25" s="336"/>
      <c r="L25" s="336"/>
      <c r="M25" s="338"/>
      <c r="S25" s="331"/>
    </row>
    <row r="26" s="42" customFormat="true" ht="14.65" hidden="false" customHeight="false" outlineLevel="0" collapsed="false">
      <c r="H26" s="339"/>
      <c r="I26" s="340"/>
      <c r="J26" s="341" t="s">
        <v>186</v>
      </c>
      <c r="K26" s="342" t="n">
        <f aca="false">G46</f>
        <v>2855.55701201534</v>
      </c>
      <c r="L26" s="343" t="s">
        <v>174</v>
      </c>
      <c r="M26" s="344"/>
    </row>
    <row r="27" s="42" customFormat="true" ht="14.65" hidden="false" customHeight="false" outlineLevel="0" collapsed="false">
      <c r="H27" s="136"/>
      <c r="I27" s="346"/>
      <c r="J27" s="347" t="s">
        <v>187</v>
      </c>
      <c r="K27" s="348" t="str">
        <f aca="false">"("&amp;G47</f>
        <v>(2000</v>
      </c>
      <c r="L27" s="349" t="s">
        <v>188</v>
      </c>
      <c r="M27" s="350"/>
    </row>
    <row r="28" s="42" customFormat="true" ht="27.25" hidden="false" customHeight="false" outlineLevel="0" collapsed="false">
      <c r="B28" s="208" t="s">
        <v>189</v>
      </c>
      <c r="G28" s="351"/>
      <c r="H28" s="351"/>
      <c r="I28" s="352"/>
      <c r="J28" s="352"/>
      <c r="K28" s="353" t="s">
        <v>190</v>
      </c>
      <c r="L28" s="353"/>
      <c r="M28" s="352"/>
      <c r="N28" s="352"/>
      <c r="O28" s="352"/>
      <c r="P28" s="352"/>
      <c r="Q28" s="354"/>
      <c r="R28" s="354"/>
    </row>
    <row r="29" s="42" customFormat="true" ht="14.65" hidden="false" customHeight="false" outlineLevel="0" collapsed="false">
      <c r="B29" s="42" t="s">
        <v>191</v>
      </c>
      <c r="G29" s="355"/>
      <c r="H29" s="355"/>
      <c r="I29" s="356"/>
      <c r="J29" s="356"/>
      <c r="K29" s="357"/>
      <c r="L29" s="357"/>
      <c r="M29" s="356"/>
      <c r="N29" s="356"/>
      <c r="O29" s="356"/>
      <c r="P29" s="356"/>
      <c r="Q29" s="358"/>
      <c r="R29" s="358"/>
      <c r="T29" s="359"/>
    </row>
    <row r="30" s="42" customFormat="true" ht="23.85" hidden="false" customHeight="false" outlineLevel="0" collapsed="false">
      <c r="G30" s="360" t="s">
        <v>123</v>
      </c>
      <c r="H30" s="361"/>
      <c r="I30" s="362" t="str">
        <f aca="false">I16</f>
        <v>Meadow Hay</v>
      </c>
      <c r="J30" s="363"/>
      <c r="K30" s="364" t="str">
        <f aca="false">K16</f>
        <v>Pasture Silage</v>
      </c>
      <c r="L30" s="365"/>
      <c r="M30" s="362" t="str">
        <f aca="false">M16</f>
        <v>Maize Silage</v>
      </c>
      <c r="N30" s="363"/>
      <c r="O30" s="366" t="str">
        <f aca="false">O16</f>
        <v>Crop</v>
      </c>
      <c r="P30" s="365"/>
      <c r="Q30" s="362" t="str">
        <f aca="false">Q16</f>
        <v>Meal</v>
      </c>
      <c r="R30" s="363"/>
    </row>
    <row r="31" s="42" customFormat="true" ht="14.65" hidden="false" customHeight="false" outlineLevel="0" collapsed="false">
      <c r="E31" s="367" t="str">
        <f aca="false">B17</f>
        <v>Milking Cows Herd A</v>
      </c>
      <c r="F31" s="368"/>
      <c r="G31" s="369" t="n">
        <f aca="false">G17*(1/INDEX('Set up'!$D$45:$O$45,1,$G$1))</f>
        <v>21.3333333333333</v>
      </c>
      <c r="H31" s="370"/>
      <c r="I31" s="371" t="n">
        <f aca="false">I17*100/((VLOOKUP(I$16,'Set up'!$A$50:$B$54,2,0)))</f>
        <v>0</v>
      </c>
      <c r="J31" s="371"/>
      <c r="K31" s="369" t="n">
        <f aca="false">K17*100/((VLOOKUP(K$16,'Set up'!$A$50:$B$54,2,0)))</f>
        <v>0</v>
      </c>
      <c r="L31" s="370"/>
      <c r="M31" s="369" t="n">
        <f aca="false">M17*100/((VLOOKUP(M$16,'Set up'!$A$50:$B$54,2,0)))</f>
        <v>0</v>
      </c>
      <c r="N31" s="370"/>
      <c r="O31" s="369" t="n">
        <f aca="false">O17*100/((VLOOKUP(O$16,'Set up'!$A$50:$B$54,2,0)))</f>
        <v>0</v>
      </c>
      <c r="P31" s="370"/>
      <c r="Q31" s="369" t="n">
        <f aca="false">Q17*100/((VLOOKUP(Q$16,'Set up'!$A$50:$B$54,2,0)))</f>
        <v>0</v>
      </c>
      <c r="R31" s="370"/>
    </row>
    <row r="32" s="42" customFormat="true" ht="14.65" hidden="false" customHeight="false" outlineLevel="0" collapsed="false">
      <c r="E32" s="372" t="str">
        <f aca="false">B18</f>
        <v>Dry Fats</v>
      </c>
      <c r="F32" s="373"/>
      <c r="G32" s="374" t="n">
        <f aca="false">G18*(1/INDEX('Set up'!$D$45:$O$45,1,$G$1))</f>
        <v>0</v>
      </c>
      <c r="H32" s="375"/>
      <c r="I32" s="376" t="n">
        <f aca="false">I18*100/((VLOOKUP(I$16,'Set up'!$A$50:$B$54,2,0)))</f>
        <v>0</v>
      </c>
      <c r="J32" s="376"/>
      <c r="K32" s="377" t="n">
        <f aca="false">K18*100/((VLOOKUP(K$16,'Set up'!$A$50:$B$54,2,0)))</f>
        <v>0</v>
      </c>
      <c r="L32" s="378"/>
      <c r="M32" s="377" t="n">
        <f aca="false">M18*100/((VLOOKUP(M$16,'Set up'!$A$50:$B$54,2,0)))</f>
        <v>0</v>
      </c>
      <c r="N32" s="378"/>
      <c r="O32" s="377" t="n">
        <f aca="false">O18*100/((VLOOKUP(O$16,'Set up'!$A$50:$B$54,2,0)))</f>
        <v>0</v>
      </c>
      <c r="P32" s="378"/>
      <c r="Q32" s="377" t="n">
        <f aca="false">Q18*100/((VLOOKUP(Q$16,'Set up'!$A$50:$B$54,2,0)))</f>
        <v>0</v>
      </c>
      <c r="R32" s="378"/>
    </row>
    <row r="33" s="42" customFormat="true" ht="14.65" hidden="false" customHeight="false" outlineLevel="0" collapsed="false">
      <c r="E33" s="379" t="str">
        <f aca="false">B19</f>
        <v>Dry thins</v>
      </c>
      <c r="F33" s="380"/>
      <c r="G33" s="369" t="n">
        <f aca="false">G19*(1/INDEX('Set up'!$D$45:$O$45,1,$G$1))</f>
        <v>0</v>
      </c>
      <c r="H33" s="370"/>
      <c r="I33" s="371" t="n">
        <f aca="false">I19*100/((VLOOKUP(I$16,'Set up'!$A$50:$B$54,2,0)))</f>
        <v>0</v>
      </c>
      <c r="J33" s="371"/>
      <c r="K33" s="369" t="n">
        <f aca="false">K19*100/((VLOOKUP(K$16,'Set up'!$A$50:$B$54,2,0)))</f>
        <v>0</v>
      </c>
      <c r="L33" s="370"/>
      <c r="M33" s="369" t="n">
        <f aca="false">M19*100/((VLOOKUP(M$16,'Set up'!$A$50:$B$54,2,0)))</f>
        <v>0</v>
      </c>
      <c r="N33" s="370"/>
      <c r="O33" s="369" t="n">
        <f aca="false">O19*100/((VLOOKUP(O$16,'Set up'!$A$50:$B$54,2,0)))</f>
        <v>0</v>
      </c>
      <c r="P33" s="370"/>
      <c r="Q33" s="369" t="n">
        <f aca="false">Q19*100/((VLOOKUP(Q$16,'Set up'!$A$50:$B$54,2,0)))</f>
        <v>0</v>
      </c>
      <c r="R33" s="370"/>
    </row>
    <row r="34" s="42" customFormat="true" ht="14.65" hidden="false" customHeight="false" outlineLevel="0" collapsed="false">
      <c r="E34" s="372" t="str">
        <f aca="false">B20</f>
        <v>R 2yr heifers</v>
      </c>
      <c r="F34" s="373"/>
      <c r="G34" s="374" t="n">
        <f aca="false">G20*(1/INDEX('Set up'!$D$45:$O$45,1,$G$1))</f>
        <v>9.33333333333333</v>
      </c>
      <c r="H34" s="375"/>
      <c r="I34" s="381" t="n">
        <f aca="false">I20*100/((VLOOKUP(I$16,'Set up'!$A$50:$B$54,2,0)))</f>
        <v>0</v>
      </c>
      <c r="J34" s="381"/>
      <c r="K34" s="382" t="n">
        <f aca="false">K20*100/((VLOOKUP(K$16,'Set up'!$A$50:$B$54,2,0)))</f>
        <v>0</v>
      </c>
      <c r="L34" s="383"/>
      <c r="M34" s="382" t="n">
        <f aca="false">M20*100/((VLOOKUP(M$16,'Set up'!$A$50:$B$54,2,0)))</f>
        <v>0</v>
      </c>
      <c r="N34" s="383"/>
      <c r="O34" s="382" t="n">
        <f aca="false">O20*100/((VLOOKUP(O$16,'Set up'!$A$50:$B$54,2,0)))</f>
        <v>0</v>
      </c>
      <c r="P34" s="383"/>
      <c r="Q34" s="382" t="n">
        <f aca="false">Q20*100/((VLOOKUP(Q$16,'Set up'!$A$50:$B$54,2,0)))</f>
        <v>0</v>
      </c>
      <c r="R34" s="383"/>
    </row>
    <row r="35" s="42" customFormat="true" ht="14.65" hidden="false" customHeight="false" outlineLevel="0" collapsed="false">
      <c r="E35" s="367" t="str">
        <f aca="false">B21</f>
        <v>Heifer Calves</v>
      </c>
      <c r="F35" s="368"/>
      <c r="G35" s="369" t="n">
        <f aca="false">G21*(1/INDEX('Set up'!$D$45:$O$45,1,$G$1))</f>
        <v>5.33333333333333</v>
      </c>
      <c r="H35" s="370"/>
      <c r="I35" s="371" t="n">
        <f aca="false">I21*100/((VLOOKUP(I$16,'Set up'!$A$50:$B$54,2,0)))</f>
        <v>0</v>
      </c>
      <c r="J35" s="371"/>
      <c r="K35" s="369" t="n">
        <f aca="false">K21*100/((VLOOKUP(K$16,'Set up'!$A$50:$B$54,2,0)))</f>
        <v>0</v>
      </c>
      <c r="L35" s="370"/>
      <c r="M35" s="369" t="n">
        <f aca="false">M21*100/((VLOOKUP(M$16,'Set up'!$A$50:$B$54,2,0)))</f>
        <v>0</v>
      </c>
      <c r="N35" s="370"/>
      <c r="O35" s="369" t="n">
        <f aca="false">O21*100/((VLOOKUP(O$16,'Set up'!$A$50:$B$54,2,0)))</f>
        <v>0</v>
      </c>
      <c r="P35" s="370"/>
      <c r="Q35" s="369" t="n">
        <f aca="false">Q21*100/((VLOOKUP(Q$16,'Set up'!$A$50:$B$54,2,0)))</f>
        <v>0</v>
      </c>
      <c r="R35" s="370"/>
    </row>
    <row r="36" s="42" customFormat="true" ht="14.65" hidden="false" customHeight="false" outlineLevel="0" collapsed="false">
      <c r="E36" s="372" t="str">
        <f aca="false">B22</f>
        <v>Bulls</v>
      </c>
      <c r="F36" s="373"/>
      <c r="G36" s="374" t="n">
        <f aca="false">G22*(1/INDEX('Set up'!$D$45:$O$45,1,$G$1))</f>
        <v>0</v>
      </c>
      <c r="H36" s="375"/>
      <c r="I36" s="381" t="n">
        <f aca="false">I22*100/((VLOOKUP(I$16,'Set up'!$A$50:$B$54,2,0)))</f>
        <v>0</v>
      </c>
      <c r="J36" s="381"/>
      <c r="K36" s="382" t="n">
        <f aca="false">K22*100/((VLOOKUP(K$16,'Set up'!$A$50:$B$54,2,0)))</f>
        <v>0</v>
      </c>
      <c r="L36" s="383"/>
      <c r="M36" s="382" t="n">
        <f aca="false">M22*100/((VLOOKUP(M$16,'Set up'!$A$50:$B$54,2,0)))</f>
        <v>0</v>
      </c>
      <c r="N36" s="383"/>
      <c r="O36" s="382" t="n">
        <f aca="false">O22*100/((VLOOKUP(O$16,'Set up'!$A$50:$B$54,2,0)))</f>
        <v>0</v>
      </c>
      <c r="P36" s="383"/>
      <c r="Q36" s="382" t="n">
        <f aca="false">Q22*100/((VLOOKUP(Q$16,'Set up'!$A$50:$B$54,2,0)))</f>
        <v>0</v>
      </c>
      <c r="R36" s="383"/>
    </row>
    <row r="37" s="42" customFormat="true" ht="14.65" hidden="false" customHeight="false" outlineLevel="0" collapsed="false">
      <c r="E37" s="379" t="str">
        <f aca="false">B23</f>
        <v>Bull Calves</v>
      </c>
      <c r="F37" s="380"/>
      <c r="G37" s="369" t="n">
        <f aca="false">G23*(1/INDEX('Set up'!$D$45:$O$45,1,$G$1))</f>
        <v>0</v>
      </c>
      <c r="H37" s="370"/>
      <c r="I37" s="371" t="n">
        <f aca="false">I23*100/((VLOOKUP(I$16,'Set up'!$A$50:$B$54,2,0)))</f>
        <v>0</v>
      </c>
      <c r="J37" s="371"/>
      <c r="K37" s="369" t="n">
        <f aca="false">K23*100/((VLOOKUP(K$16,'Set up'!$A$50:$B$54,2,0)))</f>
        <v>0</v>
      </c>
      <c r="L37" s="370"/>
      <c r="M37" s="369" t="n">
        <f aca="false">M23*100/((VLOOKUP(M$16,'Set up'!$A$50:$B$54,2,0)))</f>
        <v>0</v>
      </c>
      <c r="N37" s="370"/>
      <c r="O37" s="369" t="n">
        <f aca="false">O23*100/((VLOOKUP(O$16,'Set up'!$A$50:$B$54,2,0)))</f>
        <v>0</v>
      </c>
      <c r="P37" s="370"/>
      <c r="Q37" s="369" t="n">
        <f aca="false">Q23*100/((VLOOKUP(Q$16,'Set up'!$A$50:$B$54,2,0)))</f>
        <v>0</v>
      </c>
      <c r="R37" s="370"/>
    </row>
    <row r="38" s="105" customFormat="true" ht="14.95" hidden="false" customHeight="false" outlineLevel="0" collapsed="false">
      <c r="B38" s="384"/>
      <c r="C38" s="385"/>
      <c r="D38" s="386"/>
      <c r="E38" s="386"/>
      <c r="F38" s="387" t="s">
        <v>192</v>
      </c>
      <c r="G38" s="388" t="n">
        <f aca="false">(($G17*$D17)+($G18*$D18)+($G19*$D19)+($G20*$D20)+($G21*$D21)+($G22*$D22)+($G23*$D23))*(1/INDEX('Set up'!$D45:$O45,1,$G$1))</f>
        <v>5000</v>
      </c>
      <c r="H38" s="388"/>
      <c r="I38" s="389" t="n">
        <f aca="false">((I17*$D17)+(I18*$D18)+(I19*$D19)+(I20*$D20)+(I21*$D21)+(I22*$D22)+(I23*$D23))*(100/VLOOKUP($F6,'Set up'!$A$50:$C$54,2,0))</f>
        <v>0</v>
      </c>
      <c r="J38" s="390"/>
      <c r="K38" s="389" t="n">
        <f aca="false">((K17*$D17)+(K18*$D18)+(K19*$D19)+(K20*$D20)+(K21*$D21)+(K22*$D22)+(K23*$D23))*(100/VLOOKUP($F7,'Set up'!$A$50:$C$54,2,0))</f>
        <v>0</v>
      </c>
      <c r="L38" s="390"/>
      <c r="M38" s="389" t="n">
        <f aca="false">((M17*$D17)+(M18*$D18)+(M19*$D19)+(M20*$D20)+(M21*$D21)+(M22*$D22)+(M23*$D23))*(100/VLOOKUP($F8,'Set up'!$A$50:$C$54,2,0))</f>
        <v>0</v>
      </c>
      <c r="N38" s="390"/>
      <c r="O38" s="389" t="n">
        <f aca="false">((O17*$D17)+(O18*$D18)+(O19*$D19)+(O20*$D20)+(O21*$D21)+(O22*$D22)+(O23*$D23))*(100/VLOOKUP($F9,'Set up'!$A$50:$C$54,2,0))</f>
        <v>0</v>
      </c>
      <c r="P38" s="390"/>
      <c r="Q38" s="389" t="n">
        <f aca="false">((Q17*$D17)+(Q18*$D18)+(Q19*$D19)+(Q20*$D20)+(Q21*$D21)+(Q22*$D22)+(Q23*$D23))*(100/VLOOKUP($F10,'Set up'!$A$50:$C$54,2,0))</f>
        <v>0</v>
      </c>
      <c r="R38" s="390"/>
      <c r="S38" s="331"/>
    </row>
    <row r="39" s="42" customFormat="true" ht="14.95" hidden="false" customHeight="false" outlineLevel="0" collapsed="false">
      <c r="B39" s="391"/>
      <c r="C39" s="392"/>
      <c r="D39" s="392"/>
      <c r="E39" s="392"/>
      <c r="F39" s="393" t="s">
        <v>193</v>
      </c>
      <c r="G39" s="394" t="n">
        <f aca="false">G38*$C$5</f>
        <v>155000</v>
      </c>
      <c r="H39" s="394"/>
      <c r="I39" s="395" t="n">
        <f aca="false">I38*$C$5</f>
        <v>0</v>
      </c>
      <c r="J39" s="396"/>
      <c r="K39" s="395" t="n">
        <f aca="false">K38*$C$5</f>
        <v>0</v>
      </c>
      <c r="L39" s="396"/>
      <c r="M39" s="395" t="n">
        <f aca="false">M38*$C$5</f>
        <v>0</v>
      </c>
      <c r="N39" s="396"/>
      <c r="O39" s="395" t="n">
        <f aca="false">O38*$C$5</f>
        <v>0</v>
      </c>
      <c r="P39" s="396"/>
      <c r="Q39" s="395" t="n">
        <f aca="false">Q38*$C$5</f>
        <v>0</v>
      </c>
      <c r="R39" s="396"/>
    </row>
    <row r="40" s="42" customFormat="true" ht="14.95" hidden="false" customHeight="false" outlineLevel="0" collapsed="false">
      <c r="B40" s="42" t="s">
        <v>194</v>
      </c>
    </row>
    <row r="41" s="42" customFormat="true" ht="14.75" hidden="false" customHeight="true" outlineLevel="0" collapsed="false"/>
    <row r="42" customFormat="false" ht="14.75" hidden="false" customHeight="true" outlineLevel="0" collapsed="false">
      <c r="Q42" s="52"/>
      <c r="R42" s="52"/>
      <c r="S42" s="44"/>
    </row>
    <row r="43" s="42" customFormat="true" ht="32" hidden="false" customHeight="true" outlineLevel="0" collapsed="false">
      <c r="B43" s="208" t="s">
        <v>195</v>
      </c>
    </row>
    <row r="44" s="42" customFormat="true" ht="32" hidden="false" customHeight="true" outlineLevel="0" collapsed="false">
      <c r="B44" s="208"/>
    </row>
    <row r="45" s="42" customFormat="true" ht="14.65" hidden="false" customHeight="false" outlineLevel="0" collapsed="false">
      <c r="B45" s="44"/>
      <c r="C45" s="237"/>
      <c r="D45" s="397"/>
      <c r="E45" s="397"/>
      <c r="F45" s="398" t="s">
        <v>196</v>
      </c>
      <c r="G45" s="399" t="n">
        <f aca="true">IF(G1=1,'Set up'!$D$35,INDIRECT("period"&amp;$G$1-1&amp;"!G46"))</f>
        <v>3129.08642378004</v>
      </c>
      <c r="H45" s="400" t="s">
        <v>197</v>
      </c>
      <c r="I45" s="401"/>
      <c r="J45" s="402"/>
      <c r="K45" s="213" t="str">
        <f aca="false">IF(G1=1,"*NB: For Period1, enter the opening  Av Farm Cover in cell D37 in 'Set up'","NB: Opening av farm cover is the previous period's forecasted closing av farm cover")</f>
        <v>NB: Opening av farm cover is the previous period's forecasted closing av farm cover</v>
      </c>
      <c r="P45" s="44"/>
      <c r="V45" s="345"/>
      <c r="W45" s="2"/>
    </row>
    <row r="46" s="42" customFormat="true" ht="14.65" hidden="false" customHeight="false" outlineLevel="0" collapsed="false">
      <c r="B46" s="44"/>
      <c r="C46" s="403"/>
      <c r="D46" s="404"/>
      <c r="E46" s="404"/>
      <c r="F46" s="405" t="s">
        <v>198</v>
      </c>
      <c r="G46" s="406" t="n">
        <f aca="false">($G$45+ ($C$5*$C$12) -(G39/C11))</f>
        <v>2855.55701201534</v>
      </c>
      <c r="H46" s="407" t="s">
        <v>197</v>
      </c>
      <c r="I46" s="408"/>
      <c r="J46" s="409"/>
      <c r="K46" s="410"/>
      <c r="P46" s="44"/>
    </row>
    <row r="47" s="42" customFormat="true" ht="14.65" hidden="false" customHeight="false" outlineLevel="0" collapsed="false">
      <c r="B47" s="44"/>
      <c r="C47" s="411"/>
      <c r="D47" s="412"/>
      <c r="E47" s="412"/>
      <c r="F47" s="413" t="s">
        <v>199</v>
      </c>
      <c r="G47" s="429" t="n">
        <f aca="false">INDEX('Set up'!$D37:$O37,1,G1)</f>
        <v>2000</v>
      </c>
      <c r="H47" s="415" t="s">
        <v>197</v>
      </c>
      <c r="I47" s="416"/>
      <c r="J47" s="417"/>
      <c r="K47" s="410"/>
      <c r="P47" s="331"/>
      <c r="V47" s="345"/>
    </row>
    <row r="48" s="42" customFormat="true" ht="14.65" hidden="false" customHeight="false" outlineLevel="0" collapsed="false">
      <c r="B48" s="44"/>
      <c r="C48" s="247"/>
      <c r="D48" s="418"/>
      <c r="E48" s="418"/>
      <c r="F48" s="419" t="s">
        <v>200</v>
      </c>
      <c r="G48" s="420" t="n">
        <f aca="false">G46-G47</f>
        <v>855.557012015336</v>
      </c>
      <c r="H48" s="407" t="s">
        <v>197</v>
      </c>
      <c r="I48" s="408"/>
      <c r="J48" s="421"/>
      <c r="K48" s="422" t="s">
        <v>201</v>
      </c>
      <c r="P48" s="331"/>
    </row>
    <row r="49" s="42" customFormat="true" ht="14.65" hidden="false" customHeight="false" outlineLevel="0" collapsed="false">
      <c r="B49" s="44"/>
      <c r="C49" s="269"/>
      <c r="D49" s="423"/>
      <c r="E49" s="423"/>
      <c r="F49" s="424" t="s">
        <v>202</v>
      </c>
      <c r="G49" s="425" t="n">
        <f aca="false">G48*C11</f>
        <v>72722.3460213035</v>
      </c>
      <c r="H49" s="426" t="str">
        <f aca="false">"kg DM total over  nett "&amp;C11&amp;" ha"</f>
        <v>kg DM total over  nett 85 ha</v>
      </c>
      <c r="I49" s="427"/>
      <c r="J49" s="428"/>
      <c r="K49" s="410"/>
      <c r="P49" s="331"/>
      <c r="Q49" s="42" t="str">
        <f aca="false">CONCATENATE(Q43,S43)</f>
        <v/>
      </c>
    </row>
  </sheetData>
  <sheetProtection sheet="true" objects="true" scenarios="true" selectLockedCells="true"/>
  <mergeCells count="1">
    <mergeCell ref="Y15:AD15"/>
  </mergeCells>
  <dataValidations count="4">
    <dataValidation allowBlank="false" operator="equal" showDropDown="false" showErrorMessage="false" showInputMessage="false" sqref="F6 F8:F10" type="list">
      <formula1>'Set up'!$A$50:$A$54</formula1>
      <formula2>0</formula2>
    </dataValidation>
    <dataValidation allowBlank="false" operator="equal" showDropDown="false" showErrorMessage="false" showInputMessage="false" sqref="F7" type="list">
      <formula1>'Set up'!$A$50:$A$54</formula1>
      <formula2>0</formula2>
    </dataValidation>
    <dataValidation allowBlank="true" operator="equal" showDropDown="false" showErrorMessage="false" showInputMessage="false" sqref="B17" type="list">
      <formula1>'Set up'!$B$62:$B$90</formula1>
      <formula2>0</formula2>
    </dataValidation>
    <dataValidation allowBlank="true" operator="equal" showDropDown="false" showErrorMessage="false" showInputMessage="false" sqref="B18:B23" type="list">
      <formula1>'Set up'!$B$62:$B$89</formula1>
      <formula2>0</formula2>
    </dataValidation>
  </dataValidation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&amp;C&amp;"Arial,Regular"&amp;A</oddHeader>
    <oddFooter>&amp;C&amp;"Arial,Regular"Page &amp;P</oddFooter>
  </headerFooter>
  <drawing r:id="rId2"/>
  <legacyDrawing r:id="rId3"/>
</worksheet>
</file>

<file path=xl/worksheets/sheet14.xml><?xml version="1.0" encoding="utf-8"?>
<worksheet xmlns="http://schemas.openxmlformats.org/spreadsheetml/2006/main" xmlns:r="http://schemas.openxmlformats.org/officeDocument/2006/relationships">
  <sheetPr filterMode="false">
    <pageSetUpPr fitToPage="false"/>
  </sheetPr>
  <dimension ref="A1:AD49"/>
  <sheetViews>
    <sheetView showFormulas="false" showGridLines="false" showRowColHeaders="true" showZeros="true" rightToLeft="false" tabSelected="false" showOutlineSymbols="true" defaultGridColor="true" view="normal" topLeftCell="A1" colorId="64" zoomScale="110" zoomScaleNormal="110" zoomScalePageLayoutView="100" workbookViewId="0">
      <selection pane="topLeft" activeCell="B2" activeCellId="0" sqref="B2"/>
    </sheetView>
  </sheetViews>
  <sheetFormatPr defaultRowHeight="14.65" zeroHeight="false" outlineLevelRow="0" outlineLevelCol="0"/>
  <cols>
    <col collapsed="false" customWidth="true" hidden="false" outlineLevel="0" max="1" min="1" style="42" width="4.08"/>
    <col collapsed="false" customWidth="true" hidden="false" outlineLevel="0" max="2" min="2" style="42" width="30.91"/>
    <col collapsed="false" customWidth="true" hidden="false" outlineLevel="0" max="3" min="3" style="42" width="9.88"/>
    <col collapsed="false" customWidth="true" hidden="false" outlineLevel="0" max="4" min="4" style="42" width="10.51"/>
    <col collapsed="false" customWidth="true" hidden="false" outlineLevel="0" max="5" min="5" style="42" width="12.08"/>
    <col collapsed="false" customWidth="true" hidden="false" outlineLevel="0" max="6" min="6" style="42" width="11.76"/>
    <col collapsed="false" customWidth="true" hidden="false" outlineLevel="0" max="7" min="7" style="42" width="10.2"/>
    <col collapsed="false" customWidth="true" hidden="false" outlineLevel="0" max="8" min="8" style="42" width="5.1"/>
    <col collapsed="false" customWidth="true" hidden="false" outlineLevel="0" max="9" min="9" style="42" width="10.2"/>
    <col collapsed="false" customWidth="true" hidden="false" outlineLevel="0" max="10" min="10" style="42" width="5.1"/>
    <col collapsed="false" customWidth="true" hidden="false" outlineLevel="0" max="11" min="11" style="42" width="10.2"/>
    <col collapsed="false" customWidth="true" hidden="false" outlineLevel="0" max="12" min="12" style="42" width="5.1"/>
    <col collapsed="false" customWidth="true" hidden="false" outlineLevel="0" max="13" min="13" style="42" width="10.2"/>
    <col collapsed="false" customWidth="true" hidden="false" outlineLevel="0" max="14" min="14" style="42" width="5.1"/>
    <col collapsed="false" customWidth="true" hidden="false" outlineLevel="0" max="15" min="15" style="42" width="10.2"/>
    <col collapsed="false" customWidth="true" hidden="false" outlineLevel="0" max="16" min="16" style="42" width="5.1"/>
    <col collapsed="false" customWidth="true" hidden="false" outlineLevel="0" max="17" min="17" style="42" width="10.2"/>
    <col collapsed="false" customWidth="true" hidden="false" outlineLevel="0" max="18" min="18" style="42" width="5.1"/>
    <col collapsed="false" customWidth="true" hidden="false" outlineLevel="0" max="19" min="19" style="105" width="4.08"/>
    <col collapsed="false" customWidth="true" hidden="false" outlineLevel="0" max="1025" min="20" style="42" width="13.38"/>
  </cols>
  <sheetData>
    <row r="1" customFormat="false" ht="26.55" hidden="false" customHeight="false" outlineLevel="0" collapsed="false">
      <c r="B1" s="197" t="s">
        <v>151</v>
      </c>
      <c r="C1" s="198" t="str">
        <f aca="false">'Set up'!D4</f>
        <v>Farm A</v>
      </c>
      <c r="D1" s="199"/>
      <c r="E1" s="200"/>
      <c r="F1" s="200" t="s">
        <v>152</v>
      </c>
      <c r="G1" s="201" t="n">
        <v>11</v>
      </c>
      <c r="H1" s="202"/>
      <c r="I1" s="44"/>
      <c r="J1" s="44"/>
      <c r="M1" s="203" t="s">
        <v>153</v>
      </c>
      <c r="N1" s="105"/>
      <c r="O1" s="47"/>
      <c r="P1" s="47"/>
      <c r="S1" s="52"/>
    </row>
    <row r="2" customFormat="false" ht="32.35" hidden="false" customHeight="false" outlineLevel="0" collapsed="false">
      <c r="B2" s="430" t="s">
        <v>2</v>
      </c>
      <c r="C2" s="198"/>
      <c r="D2" s="199"/>
      <c r="E2" s="205"/>
      <c r="F2" s="206" t="s">
        <v>154</v>
      </c>
      <c r="I2" s="56"/>
      <c r="J2" s="56"/>
      <c r="K2" s="207"/>
      <c r="L2" s="207"/>
      <c r="M2" s="44"/>
      <c r="N2" s="44"/>
      <c r="O2" s="47"/>
      <c r="P2" s="47"/>
      <c r="S2" s="52"/>
    </row>
    <row r="3" s="42" customFormat="true" ht="26.45" hidden="false" customHeight="false" outlineLevel="0" collapsed="false">
      <c r="B3" s="208" t="s">
        <v>155</v>
      </c>
      <c r="D3" s="56"/>
      <c r="I3" s="209" t="s">
        <v>156</v>
      </c>
      <c r="J3" s="210"/>
    </row>
    <row r="4" s="42" customFormat="true" ht="14.65" hidden="false" customHeight="false" outlineLevel="0" collapsed="false">
      <c r="B4" s="211" t="s">
        <v>157</v>
      </c>
      <c r="C4" s="212" t="n">
        <f aca="false">HLOOKUP($G$1,'Set up'!$D$12:$O$15,3,0)</f>
        <v>43497</v>
      </c>
      <c r="D4" s="213"/>
      <c r="F4" s="214"/>
      <c r="G4" s="215" t="s">
        <v>158</v>
      </c>
      <c r="H4" s="216"/>
      <c r="I4" s="217" t="s">
        <v>159</v>
      </c>
      <c r="J4" s="216"/>
      <c r="K4" s="218" t="s">
        <v>160</v>
      </c>
      <c r="L4" s="219"/>
      <c r="M4" s="220" t="s">
        <v>161</v>
      </c>
      <c r="N4" s="221"/>
      <c r="O4" s="105"/>
      <c r="P4" s="222"/>
      <c r="Q4" s="105"/>
      <c r="R4" s="105"/>
    </row>
    <row r="5" s="42" customFormat="true" ht="14.65" hidden="false" customHeight="false" outlineLevel="0" collapsed="false">
      <c r="B5" s="223" t="s">
        <v>162</v>
      </c>
      <c r="C5" s="224" t="n">
        <f aca="false">HLOOKUP($G$1,'Set up'!$D$12:$O$15,4,0)</f>
        <v>28</v>
      </c>
      <c r="D5" s="199"/>
      <c r="F5" s="222" t="s">
        <v>163</v>
      </c>
      <c r="G5" s="225" t="s">
        <v>164</v>
      </c>
      <c r="H5" s="226"/>
      <c r="I5" s="227" t="s">
        <v>165</v>
      </c>
      <c r="J5" s="227"/>
      <c r="K5" s="228" t="s">
        <v>165</v>
      </c>
      <c r="L5" s="229"/>
      <c r="M5" s="230" t="s">
        <v>164</v>
      </c>
      <c r="N5" s="231"/>
      <c r="O5" s="222"/>
      <c r="P5" s="222"/>
      <c r="Q5" s="105"/>
      <c r="R5" s="232"/>
    </row>
    <row r="6" s="42" customFormat="true" ht="14.65" hidden="false" customHeight="false" outlineLevel="0" collapsed="false">
      <c r="B6" s="233" t="s">
        <v>166</v>
      </c>
      <c r="C6" s="234" t="n">
        <f aca="false">C4+C5</f>
        <v>43525</v>
      </c>
      <c r="D6" s="199"/>
      <c r="F6" s="235" t="s">
        <v>131</v>
      </c>
      <c r="G6" s="236" t="n">
        <f aca="false">IF($G$1=1, VLOOKUP(F6,'Set up'!$A$50:$D$54,3,0),VLOOKUP(F6,'Set up'!$A$50:$O$54,$G$1+2,0))</f>
        <v>162952.941176471</v>
      </c>
      <c r="H6" s="237"/>
      <c r="I6" s="238" t="n">
        <f aca="false">(($D$17*I$17*$C$5)+($D$18*I$18*$C$5)+($D$19*I$19*$C$5)+($D$20*I$20*$C$5)+($D$21*I$21*$C$5)+($D$22*I$22*$C$5)+($D$23*I$23*$C$5))*(100/VLOOKUP(F6,'Set up'!$A$50:$C$54,2,0))</f>
        <v>0</v>
      </c>
      <c r="J6" s="239"/>
      <c r="K6" s="240" t="n">
        <v>0</v>
      </c>
      <c r="L6" s="237"/>
      <c r="M6" s="241" t="n">
        <f aca="false">G6-I6+K6</f>
        <v>162952.941176471</v>
      </c>
      <c r="N6" s="242"/>
      <c r="O6" s="44"/>
      <c r="P6" s="44"/>
      <c r="Q6" s="105"/>
      <c r="R6" s="243"/>
    </row>
    <row r="7" s="42" customFormat="true" ht="14.65" hidden="false" customHeight="false" outlineLevel="0" collapsed="false">
      <c r="B7" s="244"/>
      <c r="C7" s="213"/>
      <c r="F7" s="245" t="s">
        <v>129</v>
      </c>
      <c r="G7" s="246" t="n">
        <f aca="false">IF($G$1=1, VLOOKUP(F7,'Set up'!$A$50:$D$54,3,0),VLOOKUP(F7,'Set up'!$A$50:$O$54,$G$1+2,0))</f>
        <v>72173.3333333333</v>
      </c>
      <c r="H7" s="247"/>
      <c r="I7" s="248" t="n">
        <f aca="false">((($D$17*K$17*$C$5)+($D$18*K$18*$C$5)+($D$19*K$19*$C$5)+($D$20*K$20*$C$5)+($D$21*K$21*$C$5)+($D$22*K$22*$C$5)+($D$23*K$23*$C$5)))*(100/VLOOKUP(F7,'Set up'!$A$50:$C$54,2,0))</f>
        <v>0</v>
      </c>
      <c r="J7" s="249"/>
      <c r="K7" s="250" t="n">
        <v>0</v>
      </c>
      <c r="L7" s="247"/>
      <c r="M7" s="251" t="n">
        <f aca="false">G7-I7+K7</f>
        <v>72173.3333333333</v>
      </c>
      <c r="N7" s="252"/>
      <c r="O7" s="44"/>
      <c r="P7" s="44"/>
      <c r="Q7" s="105"/>
      <c r="R7" s="243"/>
    </row>
    <row r="8" s="42" customFormat="true" ht="14.65" hidden="false" customHeight="false" outlineLevel="0" collapsed="false">
      <c r="B8" s="253" t="s">
        <v>167</v>
      </c>
      <c r="C8" s="254" t="n">
        <f aca="false">'Set up'!D7</f>
        <v>100</v>
      </c>
      <c r="D8" s="255" t="s">
        <v>168</v>
      </c>
      <c r="F8" s="256" t="s">
        <v>130</v>
      </c>
      <c r="G8" s="236" t="n">
        <f aca="false">IF($G$1=1, VLOOKUP(F8,'Set up'!$A$50:$D$54,3,0),VLOOKUP(F8,'Set up'!$A$50:$O$54,$G$1+2,0))</f>
        <v>0</v>
      </c>
      <c r="H8" s="257"/>
      <c r="I8" s="258" t="n">
        <f aca="false">(($D$17*M$17*$C$5)+($D$18*M$18*$C$5)+($D$19*M$19*$C$5)+($D$20*M$20*$C$5)+($D$21*M$21*$C$5)+($D$22*M$22*$C$5)+($D$23*M$23*$C$5))*(100/VLOOKUP(F8,'Set up'!$A$50:$C$54,2,0))</f>
        <v>0</v>
      </c>
      <c r="J8" s="259"/>
      <c r="K8" s="260" t="n">
        <v>0</v>
      </c>
      <c r="L8" s="257"/>
      <c r="M8" s="241" t="n">
        <f aca="false">G8-I8+K8</f>
        <v>0</v>
      </c>
      <c r="N8" s="261"/>
      <c r="O8" s="44"/>
      <c r="P8" s="44"/>
      <c r="Q8" s="105"/>
      <c r="R8" s="243"/>
      <c r="T8" s="262"/>
    </row>
    <row r="9" s="42" customFormat="true" ht="14.65" hidden="false" customHeight="false" outlineLevel="0" collapsed="false">
      <c r="B9" s="263" t="s">
        <v>169</v>
      </c>
      <c r="C9" s="264" t="n">
        <v>0</v>
      </c>
      <c r="D9" s="265" t="n">
        <f aca="true">IF($G$1&lt;&gt;1,INDIRECT("period"&amp;$G$1-1&amp;"!c9"),0)</f>
        <v>15</v>
      </c>
      <c r="F9" s="245" t="s">
        <v>132</v>
      </c>
      <c r="G9" s="246" t="n">
        <f aca="false">IF($G$1=1, VLOOKUP(F9,'Set up'!$A$50:$D$54,3,0),VLOOKUP(F9,'Set up'!$A$50:$O$54,$G$1+2,0))</f>
        <v>0</v>
      </c>
      <c r="H9" s="247"/>
      <c r="I9" s="248" t="n">
        <f aca="false">(($D$17*O$17*$C$5)+($D$18*O$18*$C$5)+($D$19*O$19*$C$5)+($D$20*O$20*$C$5)+($D$21*O$21*$C$5)+($D$22*O$22*$C$5)+($D$23*O$23*$C$5))*(100/VLOOKUP(F9,'Set up'!$A$50:$C$54,2,0))</f>
        <v>0</v>
      </c>
      <c r="J9" s="249"/>
      <c r="K9" s="250" t="n">
        <v>0</v>
      </c>
      <c r="L9" s="247"/>
      <c r="M9" s="251" t="n">
        <f aca="false">G9-I9+K9</f>
        <v>0</v>
      </c>
      <c r="N9" s="252"/>
      <c r="O9" s="44"/>
      <c r="P9" s="44"/>
      <c r="Q9" s="105"/>
      <c r="R9" s="243"/>
    </row>
    <row r="10" s="42" customFormat="true" ht="14.65" hidden="false" customHeight="false" outlineLevel="0" collapsed="false">
      <c r="B10" s="263" t="s">
        <v>170</v>
      </c>
      <c r="C10" s="266" t="n">
        <v>0</v>
      </c>
      <c r="D10" s="265" t="n">
        <f aca="true">IF($G$1&lt;&gt;1,INDIRECT("period"&amp;$G$1-1&amp;"!c10"),0)</f>
        <v>0</v>
      </c>
      <c r="F10" s="267" t="s">
        <v>133</v>
      </c>
      <c r="G10" s="268" t="n">
        <f aca="false">IF($G$1=1, VLOOKUP(F10,'Set up'!$A$50:$D$54,3,0),VLOOKUP(F10,'Set up'!$A$50:$O$54,$G$1+2,0))</f>
        <v>831.578947368422</v>
      </c>
      <c r="H10" s="269"/>
      <c r="I10" s="270" t="n">
        <f aca="false">(($D$17*Q$17*$C$5)+($D$18*Q$18*$C$5)+($D$19*Q$19*$C$5)+($D$20*Q$20*$C$5)+($D$21*Q$21*$C$5)+($D$22*Q$22*$C$5)+($D$23*Q$23*$C$5))*(100/VLOOKUP(F10,'Set up'!$A$50:$C$54,2,0))</f>
        <v>0</v>
      </c>
      <c r="J10" s="271"/>
      <c r="K10" s="272" t="n">
        <v>0</v>
      </c>
      <c r="L10" s="269"/>
      <c r="M10" s="273" t="n">
        <f aca="false">G10-I10+K10</f>
        <v>831.578947368422</v>
      </c>
      <c r="N10" s="274"/>
      <c r="O10" s="44"/>
      <c r="P10" s="44"/>
      <c r="Q10" s="105"/>
      <c r="R10" s="243"/>
    </row>
    <row r="11" s="42" customFormat="true" ht="14.65" hidden="false" customHeight="false" outlineLevel="0" collapsed="false">
      <c r="B11" s="275" t="s">
        <v>171</v>
      </c>
      <c r="C11" s="276" t="n">
        <f aca="false">C8-C9-C10</f>
        <v>100</v>
      </c>
      <c r="D11" s="265" t="n">
        <f aca="true">IF($G$1&lt;&gt;1,INDIRECT("period"&amp;$G$1-1&amp;"!c11"),0)</f>
        <v>85</v>
      </c>
      <c r="F11" s="42" t="s">
        <v>172</v>
      </c>
    </row>
    <row r="12" s="42" customFormat="true" ht="14.65" hidden="false" customHeight="false" outlineLevel="0" collapsed="false">
      <c r="A12" s="44"/>
      <c r="B12" s="277" t="s">
        <v>173</v>
      </c>
      <c r="C12" s="278" t="n">
        <f aca="false">INDEX('Set up'!D30:O30,1,G1)</f>
        <v>30</v>
      </c>
      <c r="D12" s="279" t="s">
        <v>174</v>
      </c>
      <c r="E12" s="44"/>
      <c r="F12" s="105" t="s">
        <v>175</v>
      </c>
      <c r="G12" s="105"/>
      <c r="H12" s="105"/>
      <c r="I12" s="105"/>
      <c r="J12" s="105"/>
    </row>
    <row r="13" s="42" customFormat="true" ht="14.65" hidden="false" customHeight="false" outlineLevel="0" collapsed="false">
      <c r="B13" s="2"/>
      <c r="C13" s="2"/>
      <c r="D13" s="2"/>
    </row>
    <row r="14" s="42" customFormat="true" ht="14.65" hidden="false" customHeight="false" outlineLevel="0" collapsed="false">
      <c r="B14" s="2"/>
      <c r="C14" s="2"/>
      <c r="D14" s="2"/>
      <c r="F14" s="280"/>
    </row>
    <row r="15" s="42" customFormat="true" ht="57.25" hidden="false" customHeight="true" outlineLevel="0" collapsed="false">
      <c r="B15" s="208" t="s">
        <v>176</v>
      </c>
      <c r="C15" s="281"/>
      <c r="D15" s="282"/>
      <c r="G15" s="283" t="s">
        <v>177</v>
      </c>
      <c r="N15" s="284"/>
      <c r="Y15" s="285"/>
      <c r="Z15" s="285"/>
      <c r="AA15" s="285"/>
      <c r="AB15" s="285"/>
      <c r="AC15" s="285"/>
      <c r="AD15" s="285"/>
    </row>
    <row r="16" customFormat="false" ht="47.7" hidden="false" customHeight="true" outlineLevel="0" collapsed="false">
      <c r="B16" s="286" t="s">
        <v>178</v>
      </c>
      <c r="C16" s="287" t="s">
        <v>179</v>
      </c>
      <c r="D16" s="288" t="s">
        <v>180</v>
      </c>
      <c r="E16" s="289" t="s">
        <v>181</v>
      </c>
      <c r="F16" s="290" t="s">
        <v>182</v>
      </c>
      <c r="G16" s="291" t="s">
        <v>123</v>
      </c>
      <c r="H16" s="292" t="s">
        <v>183</v>
      </c>
      <c r="I16" s="293" t="str">
        <f aca="false">F6</f>
        <v>Meadow Hay</v>
      </c>
      <c r="J16" s="294" t="s">
        <v>183</v>
      </c>
      <c r="K16" s="295" t="str">
        <f aca="false">F7</f>
        <v>Pasture Silage</v>
      </c>
      <c r="L16" s="292" t="s">
        <v>183</v>
      </c>
      <c r="M16" s="293" t="str">
        <f aca="false">F8</f>
        <v>Maize Silage</v>
      </c>
      <c r="N16" s="294" t="s">
        <v>183</v>
      </c>
      <c r="O16" s="295" t="str">
        <f aca="false">F9</f>
        <v>Crop</v>
      </c>
      <c r="P16" s="292" t="s">
        <v>183</v>
      </c>
      <c r="Q16" s="293" t="str">
        <f aca="false">F10</f>
        <v>Meal</v>
      </c>
      <c r="R16" s="294" t="s">
        <v>183</v>
      </c>
      <c r="S16" s="296"/>
    </row>
    <row r="17" customFormat="false" ht="14.65" hidden="false" customHeight="false" outlineLevel="0" collapsed="false">
      <c r="B17" s="297" t="s">
        <v>138</v>
      </c>
      <c r="C17" s="298" t="n">
        <f aca="false">VLOOKUP(B17,'Set up'!$B$62:$O$89,2+$G$1,FALSE())</f>
        <v>250</v>
      </c>
      <c r="D17" s="299" t="n">
        <v>250</v>
      </c>
      <c r="E17" s="300" t="str">
        <f aca="false">TRIM(CLEAN(INDEX('Set up'!$D$63:$O$87,MATCH(B17,'Set up'!$B$62:$B$89,0),+$G$1)))</f>
        <v>16</v>
      </c>
      <c r="F17" s="301" t="n">
        <f aca="false">G17+I17+K17+M17+O17+Q17</f>
        <v>16</v>
      </c>
      <c r="G17" s="302" t="n">
        <v>16</v>
      </c>
      <c r="H17" s="303" t="n">
        <f aca="true">IF($G$1&lt;&gt;1,INDIRECT("period"&amp;$G$1-1&amp;"!G17"),0)</f>
        <v>16</v>
      </c>
      <c r="I17" s="302" t="n">
        <v>0</v>
      </c>
      <c r="J17" s="303" t="n">
        <f aca="true">IF($G$1&lt;&gt;1,INDIRECT("period"&amp;$G$1-1&amp;"!I17"),0)</f>
        <v>0</v>
      </c>
      <c r="K17" s="302" t="n">
        <v>0</v>
      </c>
      <c r="L17" s="303" t="n">
        <f aca="true">IF($G$1&lt;&gt;1,INDIRECT("period"&amp;$G$1-1&amp;"!K17"),0)</f>
        <v>0</v>
      </c>
      <c r="M17" s="302" t="n">
        <v>0</v>
      </c>
      <c r="N17" s="303" t="n">
        <f aca="true">IF($G$1&lt;&gt;1,INDIRECT("period"&amp;$G$1-1&amp;"!M17"),0)</f>
        <v>0</v>
      </c>
      <c r="O17" s="302" t="n">
        <v>0</v>
      </c>
      <c r="P17" s="303" t="n">
        <f aca="true">IF($G$1&lt;&gt;1,INDIRECT("period"&amp;$G$1-1&amp;"!O17"),0)</f>
        <v>0</v>
      </c>
      <c r="Q17" s="304" t="n">
        <v>0</v>
      </c>
      <c r="R17" s="305" t="n">
        <f aca="true">IF($G$1&lt;&gt;1,INDIRECT("period"&amp;$G$1-1&amp;"!Q17"),0)</f>
        <v>0</v>
      </c>
      <c r="S17" s="306"/>
    </row>
    <row r="18" customFormat="false" ht="14.65" hidden="false" customHeight="false" outlineLevel="0" collapsed="false">
      <c r="B18" s="307" t="s">
        <v>142</v>
      </c>
      <c r="C18" s="308" t="n">
        <f aca="false">VLOOKUP(B18,'Set up'!$B$62:$O$89,2+$G$1,FALSE())</f>
        <v>0</v>
      </c>
      <c r="D18" s="309" t="n">
        <v>0</v>
      </c>
      <c r="E18" s="310" t="str">
        <f aca="false">TRIM(CLEAN(INDEX('Set up'!$D$63:$O$87,MATCH(B18,'Set up'!$B$62:$B$89,0),+$G$1)))</f>
        <v>0</v>
      </c>
      <c r="F18" s="311" t="n">
        <f aca="false">G18+I18+K18+M18+O18+Q18</f>
        <v>0</v>
      </c>
      <c r="G18" s="312" t="n">
        <v>0</v>
      </c>
      <c r="H18" s="313" t="n">
        <f aca="true">IF($G$1&lt;&gt;1,INDIRECT("period"&amp;$G$1-1&amp;"!G18"),0)</f>
        <v>0</v>
      </c>
      <c r="I18" s="312" t="n">
        <v>0</v>
      </c>
      <c r="J18" s="313" t="n">
        <f aca="true">IF($G$1&lt;&gt;1,INDIRECT("period"&amp;$G$1-1&amp;"!I18"),0)</f>
        <v>0</v>
      </c>
      <c r="K18" s="312" t="n">
        <v>0</v>
      </c>
      <c r="L18" s="313" t="n">
        <f aca="true">IF($G$1&lt;&gt;1,INDIRECT("period"&amp;$G$1-1&amp;"!K18"),0)</f>
        <v>0</v>
      </c>
      <c r="M18" s="312" t="n">
        <v>0</v>
      </c>
      <c r="N18" s="313" t="n">
        <f aca="true">IF($G$1&lt;&gt;1,INDIRECT("period"&amp;$G$1-1&amp;"!M18"),0)</f>
        <v>0</v>
      </c>
      <c r="O18" s="312" t="n">
        <v>0</v>
      </c>
      <c r="P18" s="313" t="n">
        <f aca="true">IF($G$1&lt;&gt;1,INDIRECT("period"&amp;$G$1-1&amp;"!O18"),0)</f>
        <v>0</v>
      </c>
      <c r="Q18" s="312" t="n">
        <v>0</v>
      </c>
      <c r="R18" s="313" t="n">
        <f aca="true">IF($G$1&lt;&gt;1,INDIRECT("period"&amp;$G$1-1&amp;"!Q18"),0)</f>
        <v>0</v>
      </c>
      <c r="S18" s="306"/>
    </row>
    <row r="19" customFormat="false" ht="14.65" hidden="false" customHeight="false" outlineLevel="0" collapsed="false">
      <c r="B19" s="314" t="s">
        <v>143</v>
      </c>
      <c r="C19" s="308" t="n">
        <f aca="false">VLOOKUP(B19,'Set up'!$B$62:$O$89,2+$G$1,FALSE())</f>
        <v>0</v>
      </c>
      <c r="D19" s="315" t="n">
        <v>0</v>
      </c>
      <c r="E19" s="316" t="str">
        <f aca="false">TRIM(CLEAN(INDEX('Set up'!$D$63:$O$87,MATCH(B19,'Set up'!$B$62:$B$89,0),+$G$1)))</f>
        <v>0</v>
      </c>
      <c r="F19" s="317" t="n">
        <f aca="false">G19+I19+K19+M19+O19+Q19</f>
        <v>0</v>
      </c>
      <c r="G19" s="304" t="n">
        <v>0</v>
      </c>
      <c r="H19" s="305" t="n">
        <f aca="true">IF($G$1&lt;&gt;1,INDIRECT("period"&amp;$G$1-1&amp;"!G19"),0)</f>
        <v>0</v>
      </c>
      <c r="I19" s="304" t="n">
        <v>0</v>
      </c>
      <c r="J19" s="305" t="n">
        <f aca="true">IF($G$1&lt;&gt;1,INDIRECT("period"&amp;$G$1-1&amp;"!I19"),0)</f>
        <v>0</v>
      </c>
      <c r="K19" s="304" t="n">
        <v>0</v>
      </c>
      <c r="L19" s="305" t="n">
        <f aca="true">IF($G$1&lt;&gt;1,INDIRECT("period"&amp;$G$1-1&amp;"!K19"),0)</f>
        <v>0</v>
      </c>
      <c r="M19" s="304" t="n">
        <v>0</v>
      </c>
      <c r="N19" s="305" t="n">
        <f aca="true">IF($G$1&lt;&gt;1,INDIRECT("period"&amp;$G$1-1&amp;"!G19"),0)</f>
        <v>0</v>
      </c>
      <c r="O19" s="304" t="n">
        <v>0</v>
      </c>
      <c r="P19" s="305" t="n">
        <f aca="true">IF($G$1&lt;&gt;1,INDIRECT("period"&amp;$G$1-1&amp;"!O19"),0)</f>
        <v>0</v>
      </c>
      <c r="Q19" s="304" t="n">
        <v>0</v>
      </c>
      <c r="R19" s="305" t="n">
        <f aca="true">IF($G$1&lt;&gt;1,INDIRECT("period"&amp;$G$1-1&amp;"!Q19"),0)</f>
        <v>0</v>
      </c>
      <c r="S19" s="306"/>
    </row>
    <row r="20" customFormat="false" ht="14.65" hidden="false" customHeight="false" outlineLevel="0" collapsed="false">
      <c r="B20" s="307" t="s">
        <v>144</v>
      </c>
      <c r="C20" s="308" t="n">
        <f aca="false">VLOOKUP(B20,'Set up'!$B$62:$O$89,2+$G$1,FALSE())</f>
        <v>50</v>
      </c>
      <c r="D20" s="318" t="n">
        <v>50</v>
      </c>
      <c r="E20" s="310" t="str">
        <f aca="false">TRIM(CLEAN(INDEX('Set up'!$D$63:$O$87,MATCH(B20,'Set up'!$B$62:$B$89,0),+$G$1)))</f>
        <v>7</v>
      </c>
      <c r="F20" s="311" t="n">
        <f aca="false">G20+I20+K20+M20+O20+Q20</f>
        <v>7</v>
      </c>
      <c r="G20" s="312" t="n">
        <v>7</v>
      </c>
      <c r="H20" s="313" t="n">
        <f aca="true">IF($G$1&lt;&gt;1,INDIRECT("period"&amp;$G$1-1&amp;"!G20"),0)</f>
        <v>7</v>
      </c>
      <c r="I20" s="312" t="n">
        <v>0</v>
      </c>
      <c r="J20" s="313" t="n">
        <f aca="true">IF($G$1&lt;&gt;1,INDIRECT("period"&amp;$G$1-1&amp;"!I27"),0)</f>
        <v>0</v>
      </c>
      <c r="K20" s="312" t="n">
        <v>0</v>
      </c>
      <c r="L20" s="313" t="n">
        <f aca="true">IF($G$1&lt;&gt;1,INDIRECT("period"&amp;$G$1-1&amp;"!K20"),0)</f>
        <v>0</v>
      </c>
      <c r="M20" s="312" t="n">
        <v>0</v>
      </c>
      <c r="N20" s="313" t="n">
        <f aca="true">IF($G$1&lt;&gt;1,INDIRECT("period"&amp;$G$1-1&amp;"!M20"),0)</f>
        <v>0</v>
      </c>
      <c r="O20" s="312" t="n">
        <v>0</v>
      </c>
      <c r="P20" s="313" t="n">
        <f aca="true">IF($G$1&lt;&gt;1,INDIRECT("period"&amp;$G$1-1&amp;"!O20"),0)</f>
        <v>0</v>
      </c>
      <c r="Q20" s="312" t="n">
        <v>0</v>
      </c>
      <c r="R20" s="313" t="n">
        <f aca="true">IF($G$1&lt;&gt;1,INDIRECT("period"&amp;$G$1-1&amp;"!Q20"),0)</f>
        <v>0</v>
      </c>
      <c r="S20" s="306"/>
    </row>
    <row r="21" customFormat="false" ht="14.65" hidden="false" customHeight="false" outlineLevel="0" collapsed="false">
      <c r="B21" s="314" t="s">
        <v>145</v>
      </c>
      <c r="C21" s="308" t="n">
        <f aca="false">VLOOKUP(B21,'Set up'!$B$62:$O$89,2+$G$1,FALSE())</f>
        <v>50</v>
      </c>
      <c r="D21" s="315" t="n">
        <v>50</v>
      </c>
      <c r="E21" s="316" t="str">
        <f aca="false">TRIM(CLEAN(INDEX('Set up'!$D$63:$O$87,MATCH(B21,'Set up'!$B$62:$B$89,0),+$G$1)))</f>
        <v>4</v>
      </c>
      <c r="F21" s="317" t="n">
        <f aca="false">G21+I21+K21+M21+O21+Q21</f>
        <v>4</v>
      </c>
      <c r="G21" s="304" t="n">
        <v>4</v>
      </c>
      <c r="H21" s="305" t="n">
        <f aca="true">IF($G$1&lt;&gt;1,INDIRECT("period"&amp;$G$1-1&amp;"!G21"),0)</f>
        <v>4</v>
      </c>
      <c r="I21" s="304" t="n">
        <v>0</v>
      </c>
      <c r="J21" s="305" t="n">
        <f aca="true">IF($G$1&lt;&gt;1,INDIRECT("period"&amp;$G$1-1&amp;"!I21"),0)</f>
        <v>0</v>
      </c>
      <c r="K21" s="304" t="n">
        <v>0</v>
      </c>
      <c r="L21" s="305" t="n">
        <f aca="true">IF($G$1&lt;&gt;1,INDIRECT("period"&amp;$G$1-1&amp;"!K21"),0)</f>
        <v>0</v>
      </c>
      <c r="M21" s="304" t="n">
        <v>0</v>
      </c>
      <c r="N21" s="305" t="n">
        <f aca="true">IF($G$1&lt;&gt;1,INDIRECT("period"&amp;$G$1-1&amp;"!M21"),0)</f>
        <v>0</v>
      </c>
      <c r="O21" s="304" t="n">
        <v>0</v>
      </c>
      <c r="P21" s="305" t="n">
        <f aca="true">IF($G$1&lt;&gt;1,INDIRECT("period"&amp;$G$1-1&amp;"!O21"),0)</f>
        <v>0</v>
      </c>
      <c r="Q21" s="304" t="n">
        <v>0</v>
      </c>
      <c r="R21" s="305" t="n">
        <f aca="true">IF($G$1&lt;&gt;1,INDIRECT("period"&amp;$G$1-1&amp;"!Q21"),0)</f>
        <v>0</v>
      </c>
      <c r="S21" s="319"/>
    </row>
    <row r="22" customFormat="false" ht="14.65" hidden="false" customHeight="false" outlineLevel="0" collapsed="false">
      <c r="B22" s="307" t="s">
        <v>147</v>
      </c>
      <c r="C22" s="308" t="n">
        <f aca="false">VLOOKUP(B22,'Set up'!$B$62:$O$89,2+$G$1,FALSE())</f>
        <v>0</v>
      </c>
      <c r="D22" s="318" t="n">
        <v>0</v>
      </c>
      <c r="E22" s="310" t="str">
        <f aca="false">TRIM(CLEAN(INDEX('Set up'!$D$63:$O$87,MATCH(B22,'Set up'!$B$62:$B$89,0),+$G$1)))</f>
        <v>0</v>
      </c>
      <c r="F22" s="311" t="n">
        <f aca="false">G22+I22+K22+M22+O22+Q22</f>
        <v>0</v>
      </c>
      <c r="G22" s="312" t="n">
        <v>0</v>
      </c>
      <c r="H22" s="313" t="n">
        <f aca="true">IF($G$1&lt;&gt;1,INDIRECT("period"&amp;$G$1-1&amp;"!G22"),0)</f>
        <v>0</v>
      </c>
      <c r="I22" s="312" t="n">
        <v>0</v>
      </c>
      <c r="J22" s="313" t="n">
        <f aca="true">IF($G$1&lt;&gt;1,INDIRECT("period"&amp;$G$1-1&amp;"!i22"),0)</f>
        <v>0</v>
      </c>
      <c r="K22" s="312" t="n">
        <v>0</v>
      </c>
      <c r="L22" s="313" t="n">
        <f aca="true">IF($G$1&lt;&gt;1,INDIRECT("period"&amp;$G$1-1&amp;"!G22"),0)</f>
        <v>0</v>
      </c>
      <c r="M22" s="312" t="n">
        <v>0</v>
      </c>
      <c r="N22" s="313" t="n">
        <f aca="true">IF($G$1&lt;&gt;1,INDIRECT("period"&amp;$G$1-1&amp;"!M22"),0)</f>
        <v>0</v>
      </c>
      <c r="O22" s="312" t="n">
        <v>0</v>
      </c>
      <c r="P22" s="313" t="n">
        <f aca="true">IF($G$1&lt;&gt;1,INDIRECT("period"&amp;$G$1-1&amp;"!O22"),0)</f>
        <v>0</v>
      </c>
      <c r="Q22" s="312" t="n">
        <v>0</v>
      </c>
      <c r="R22" s="313" t="n">
        <f aca="true">IF($G$1&lt;&gt;1,INDIRECT("period"&amp;$G$1-1&amp;"!Q22"),0)</f>
        <v>0</v>
      </c>
      <c r="S22" s="306"/>
    </row>
    <row r="23" customFormat="false" ht="14.65" hidden="false" customHeight="false" outlineLevel="0" collapsed="false">
      <c r="B23" s="320" t="s">
        <v>146</v>
      </c>
      <c r="C23" s="321" t="n">
        <f aca="false">VLOOKUP(B23,'Set up'!$B$62:$O$89,2+$G$1,FALSE())</f>
        <v>0</v>
      </c>
      <c r="D23" s="322" t="n">
        <v>0</v>
      </c>
      <c r="E23" s="323" t="str">
        <f aca="false">TRIM(CLEAN(INDEX('Set up'!$D$63:$O$87,MATCH(B23,'Set up'!$B$62:$B$89,0),+$G$1)))</f>
        <v>0</v>
      </c>
      <c r="F23" s="324" t="n">
        <f aca="false">G23+I23+K23+M23+O23+Q23</f>
        <v>0</v>
      </c>
      <c r="G23" s="325" t="n">
        <v>0</v>
      </c>
      <c r="H23" s="326" t="n">
        <f aca="true">IF($G$1&lt;&gt;1,INDIRECT("period"&amp;$G$1-1&amp;"!G23"),0)</f>
        <v>0</v>
      </c>
      <c r="I23" s="325" t="n">
        <v>0</v>
      </c>
      <c r="J23" s="326" t="n">
        <f aca="true">IF($G$1&lt;&gt;1,INDIRECT("period"&amp;$G$1-1&amp;"!I23"),0)</f>
        <v>0</v>
      </c>
      <c r="K23" s="325" t="n">
        <v>0</v>
      </c>
      <c r="L23" s="326" t="n">
        <f aca="true">IF($G$1&lt;&gt;1,INDIRECT("period"&amp;$G$1-1&amp;"!K23"),0)</f>
        <v>0</v>
      </c>
      <c r="M23" s="325" t="n">
        <v>0</v>
      </c>
      <c r="N23" s="326" t="n">
        <f aca="true">IF($G$1&lt;&gt;1,INDIRECT("period"&amp;$G$1-1&amp;"!M23"),0)</f>
        <v>0</v>
      </c>
      <c r="O23" s="325" t="n">
        <v>0</v>
      </c>
      <c r="P23" s="326" t="n">
        <f aca="true">IF($G$1&lt;&gt;1,INDIRECT("period"&amp;$G$1-1&amp;"!G23"),0)</f>
        <v>0</v>
      </c>
      <c r="Q23" s="325" t="n">
        <v>0</v>
      </c>
      <c r="R23" s="326" t="n">
        <f aca="true">IF($G$1&lt;&gt;1,INDIRECT("period"&amp;$G$1-1&amp;"!Q23"),0)</f>
        <v>0</v>
      </c>
      <c r="S23" s="306"/>
    </row>
    <row r="24" customFormat="false" ht="14.65" hidden="false" customHeight="false" outlineLevel="0" collapsed="false">
      <c r="B24" s="327" t="s">
        <v>184</v>
      </c>
      <c r="C24" s="328" t="n">
        <f aca="false">SUM(C17:C23)</f>
        <v>350</v>
      </c>
      <c r="D24" s="329" t="n">
        <f aca="false">SUM(D17:D23)</f>
        <v>350</v>
      </c>
      <c r="E24" s="330"/>
      <c r="F24" s="330"/>
      <c r="S24" s="331"/>
    </row>
    <row r="25" customFormat="false" ht="14.65" hidden="false" customHeight="false" outlineLevel="0" collapsed="false">
      <c r="B25" s="332"/>
      <c r="C25" s="333"/>
      <c r="D25" s="334"/>
      <c r="E25" s="330"/>
      <c r="F25" s="330"/>
      <c r="H25" s="335"/>
      <c r="I25" s="336"/>
      <c r="J25" s="337" t="s">
        <v>185</v>
      </c>
      <c r="K25" s="336"/>
      <c r="L25" s="336"/>
      <c r="M25" s="338"/>
      <c r="S25" s="331"/>
    </row>
    <row r="26" s="42" customFormat="true" ht="14.65" hidden="false" customHeight="false" outlineLevel="0" collapsed="false">
      <c r="H26" s="339"/>
      <c r="I26" s="340"/>
      <c r="J26" s="341" t="s">
        <v>186</v>
      </c>
      <c r="K26" s="342" t="n">
        <f aca="false">G46</f>
        <v>2196.73348260358</v>
      </c>
      <c r="L26" s="343" t="s">
        <v>174</v>
      </c>
      <c r="M26" s="344"/>
    </row>
    <row r="27" s="42" customFormat="true" ht="14.65" hidden="false" customHeight="false" outlineLevel="0" collapsed="false">
      <c r="H27" s="136"/>
      <c r="I27" s="346"/>
      <c r="J27" s="347" t="s">
        <v>187</v>
      </c>
      <c r="K27" s="348" t="str">
        <f aca="false">"("&amp;G47</f>
        <v>(2000</v>
      </c>
      <c r="L27" s="349" t="s">
        <v>188</v>
      </c>
      <c r="M27" s="350"/>
    </row>
    <row r="28" s="42" customFormat="true" ht="27.25" hidden="false" customHeight="false" outlineLevel="0" collapsed="false">
      <c r="B28" s="208" t="s">
        <v>189</v>
      </c>
      <c r="G28" s="351"/>
      <c r="H28" s="351"/>
      <c r="I28" s="352"/>
      <c r="J28" s="352"/>
      <c r="K28" s="353" t="s">
        <v>190</v>
      </c>
      <c r="L28" s="353"/>
      <c r="M28" s="352"/>
      <c r="N28" s="352"/>
      <c r="O28" s="352"/>
      <c r="P28" s="352"/>
      <c r="Q28" s="354"/>
      <c r="R28" s="354"/>
    </row>
    <row r="29" s="42" customFormat="true" ht="14.65" hidden="false" customHeight="false" outlineLevel="0" collapsed="false">
      <c r="B29" s="42" t="s">
        <v>191</v>
      </c>
      <c r="G29" s="355"/>
      <c r="H29" s="355"/>
      <c r="I29" s="356"/>
      <c r="J29" s="356"/>
      <c r="K29" s="357"/>
      <c r="L29" s="357"/>
      <c r="M29" s="356"/>
      <c r="N29" s="356"/>
      <c r="O29" s="356"/>
      <c r="P29" s="356"/>
      <c r="Q29" s="358"/>
      <c r="R29" s="358"/>
      <c r="T29" s="359"/>
    </row>
    <row r="30" s="42" customFormat="true" ht="23.85" hidden="false" customHeight="false" outlineLevel="0" collapsed="false">
      <c r="G30" s="360" t="s">
        <v>123</v>
      </c>
      <c r="H30" s="361"/>
      <c r="I30" s="362" t="str">
        <f aca="false">I16</f>
        <v>Meadow Hay</v>
      </c>
      <c r="J30" s="363"/>
      <c r="K30" s="364" t="str">
        <f aca="false">K16</f>
        <v>Pasture Silage</v>
      </c>
      <c r="L30" s="365"/>
      <c r="M30" s="362" t="str">
        <f aca="false">M16</f>
        <v>Maize Silage</v>
      </c>
      <c r="N30" s="363"/>
      <c r="O30" s="366" t="str">
        <f aca="false">O16</f>
        <v>Crop</v>
      </c>
      <c r="P30" s="365"/>
      <c r="Q30" s="362" t="str">
        <f aca="false">Q16</f>
        <v>Meal</v>
      </c>
      <c r="R30" s="363"/>
    </row>
    <row r="31" s="42" customFormat="true" ht="14.65" hidden="false" customHeight="false" outlineLevel="0" collapsed="false">
      <c r="E31" s="367" t="str">
        <f aca="false">B17</f>
        <v>Milking Cows Herd A</v>
      </c>
      <c r="F31" s="368"/>
      <c r="G31" s="369" t="n">
        <f aca="false">G17*(1/INDEX('Set up'!$D$45:$O$45,1,$G$1))</f>
        <v>18.8235294117647</v>
      </c>
      <c r="H31" s="370"/>
      <c r="I31" s="371" t="n">
        <f aca="false">I17*100/((VLOOKUP(I$16,'Set up'!$A$50:$B$54,2,0)))</f>
        <v>0</v>
      </c>
      <c r="J31" s="371"/>
      <c r="K31" s="369" t="n">
        <f aca="false">K17*100/((VLOOKUP(K$16,'Set up'!$A$50:$B$54,2,0)))</f>
        <v>0</v>
      </c>
      <c r="L31" s="370"/>
      <c r="M31" s="369" t="n">
        <f aca="false">M17*100/((VLOOKUP(M$16,'Set up'!$A$50:$B$54,2,0)))</f>
        <v>0</v>
      </c>
      <c r="N31" s="370"/>
      <c r="O31" s="369" t="n">
        <f aca="false">O17*100/((VLOOKUP(O$16,'Set up'!$A$50:$B$54,2,0)))</f>
        <v>0</v>
      </c>
      <c r="P31" s="370"/>
      <c r="Q31" s="369" t="n">
        <f aca="false">Q17*100/((VLOOKUP(Q$16,'Set up'!$A$50:$B$54,2,0)))</f>
        <v>0</v>
      </c>
      <c r="R31" s="370"/>
    </row>
    <row r="32" s="42" customFormat="true" ht="14.65" hidden="false" customHeight="false" outlineLevel="0" collapsed="false">
      <c r="E32" s="372" t="str">
        <f aca="false">B18</f>
        <v>Dry Fats</v>
      </c>
      <c r="F32" s="373"/>
      <c r="G32" s="374" t="n">
        <f aca="false">G18*(1/INDEX('Set up'!$D$45:$O$45,1,$G$1))</f>
        <v>0</v>
      </c>
      <c r="H32" s="375"/>
      <c r="I32" s="376" t="n">
        <f aca="false">I18*100/((VLOOKUP(I$16,'Set up'!$A$50:$B$54,2,0)))</f>
        <v>0</v>
      </c>
      <c r="J32" s="376"/>
      <c r="K32" s="377" t="n">
        <f aca="false">K18*100/((VLOOKUP(K$16,'Set up'!$A$50:$B$54,2,0)))</f>
        <v>0</v>
      </c>
      <c r="L32" s="378"/>
      <c r="M32" s="377" t="n">
        <f aca="false">M18*100/((VLOOKUP(M$16,'Set up'!$A$50:$B$54,2,0)))</f>
        <v>0</v>
      </c>
      <c r="N32" s="378"/>
      <c r="O32" s="377" t="n">
        <f aca="false">O18*100/((VLOOKUP(O$16,'Set up'!$A$50:$B$54,2,0)))</f>
        <v>0</v>
      </c>
      <c r="P32" s="378"/>
      <c r="Q32" s="377" t="n">
        <f aca="false">Q18*100/((VLOOKUP(Q$16,'Set up'!$A$50:$B$54,2,0)))</f>
        <v>0</v>
      </c>
      <c r="R32" s="378"/>
    </row>
    <row r="33" s="42" customFormat="true" ht="14.65" hidden="false" customHeight="false" outlineLevel="0" collapsed="false">
      <c r="E33" s="379" t="str">
        <f aca="false">B19</f>
        <v>Dry thins</v>
      </c>
      <c r="F33" s="380"/>
      <c r="G33" s="369" t="n">
        <f aca="false">G19*(1/INDEX('Set up'!$D$45:$O$45,1,$G$1))</f>
        <v>0</v>
      </c>
      <c r="H33" s="370"/>
      <c r="I33" s="371" t="n">
        <f aca="false">I19*100/((VLOOKUP(I$16,'Set up'!$A$50:$B$54,2,0)))</f>
        <v>0</v>
      </c>
      <c r="J33" s="371"/>
      <c r="K33" s="369" t="n">
        <f aca="false">K19*100/((VLOOKUP(K$16,'Set up'!$A$50:$B$54,2,0)))</f>
        <v>0</v>
      </c>
      <c r="L33" s="370"/>
      <c r="M33" s="369" t="n">
        <f aca="false">M19*100/((VLOOKUP(M$16,'Set up'!$A$50:$B$54,2,0)))</f>
        <v>0</v>
      </c>
      <c r="N33" s="370"/>
      <c r="O33" s="369" t="n">
        <f aca="false">O19*100/((VLOOKUP(O$16,'Set up'!$A$50:$B$54,2,0)))</f>
        <v>0</v>
      </c>
      <c r="P33" s="370"/>
      <c r="Q33" s="369" t="n">
        <f aca="false">Q19*100/((VLOOKUP(Q$16,'Set up'!$A$50:$B$54,2,0)))</f>
        <v>0</v>
      </c>
      <c r="R33" s="370"/>
    </row>
    <row r="34" s="42" customFormat="true" ht="14.65" hidden="false" customHeight="false" outlineLevel="0" collapsed="false">
      <c r="E34" s="372" t="str">
        <f aca="false">B20</f>
        <v>R 2yr heifers</v>
      </c>
      <c r="F34" s="373"/>
      <c r="G34" s="374" t="n">
        <f aca="false">G20*(1/INDEX('Set up'!$D$45:$O$45,1,$G$1))</f>
        <v>8.23529411764706</v>
      </c>
      <c r="H34" s="375"/>
      <c r="I34" s="381" t="n">
        <f aca="false">I20*100/((VLOOKUP(I$16,'Set up'!$A$50:$B$54,2,0)))</f>
        <v>0</v>
      </c>
      <c r="J34" s="381"/>
      <c r="K34" s="382" t="n">
        <f aca="false">K20*100/((VLOOKUP(K$16,'Set up'!$A$50:$B$54,2,0)))</f>
        <v>0</v>
      </c>
      <c r="L34" s="383"/>
      <c r="M34" s="382" t="n">
        <f aca="false">M20*100/((VLOOKUP(M$16,'Set up'!$A$50:$B$54,2,0)))</f>
        <v>0</v>
      </c>
      <c r="N34" s="383"/>
      <c r="O34" s="382" t="n">
        <f aca="false">O20*100/((VLOOKUP(O$16,'Set up'!$A$50:$B$54,2,0)))</f>
        <v>0</v>
      </c>
      <c r="P34" s="383"/>
      <c r="Q34" s="382" t="n">
        <f aca="false">Q20*100/((VLOOKUP(Q$16,'Set up'!$A$50:$B$54,2,0)))</f>
        <v>0</v>
      </c>
      <c r="R34" s="383"/>
    </row>
    <row r="35" s="42" customFormat="true" ht="14.65" hidden="false" customHeight="false" outlineLevel="0" collapsed="false">
      <c r="E35" s="367" t="str">
        <f aca="false">B21</f>
        <v>Heifer Calves</v>
      </c>
      <c r="F35" s="368"/>
      <c r="G35" s="369" t="n">
        <f aca="false">G21*(1/INDEX('Set up'!$D$45:$O$45,1,$G$1))</f>
        <v>4.70588235294118</v>
      </c>
      <c r="H35" s="370"/>
      <c r="I35" s="371" t="n">
        <f aca="false">I21*100/((VLOOKUP(I$16,'Set up'!$A$50:$B$54,2,0)))</f>
        <v>0</v>
      </c>
      <c r="J35" s="371"/>
      <c r="K35" s="369" t="n">
        <f aca="false">K21*100/((VLOOKUP(K$16,'Set up'!$A$50:$B$54,2,0)))</f>
        <v>0</v>
      </c>
      <c r="L35" s="370"/>
      <c r="M35" s="369" t="n">
        <f aca="false">M21*100/((VLOOKUP(M$16,'Set up'!$A$50:$B$54,2,0)))</f>
        <v>0</v>
      </c>
      <c r="N35" s="370"/>
      <c r="O35" s="369" t="n">
        <f aca="false">O21*100/((VLOOKUP(O$16,'Set up'!$A$50:$B$54,2,0)))</f>
        <v>0</v>
      </c>
      <c r="P35" s="370"/>
      <c r="Q35" s="369" t="n">
        <f aca="false">Q21*100/((VLOOKUP(Q$16,'Set up'!$A$50:$B$54,2,0)))</f>
        <v>0</v>
      </c>
      <c r="R35" s="370"/>
    </row>
    <row r="36" s="42" customFormat="true" ht="14.65" hidden="false" customHeight="false" outlineLevel="0" collapsed="false">
      <c r="E36" s="372" t="str">
        <f aca="false">B22</f>
        <v>Bulls</v>
      </c>
      <c r="F36" s="373"/>
      <c r="G36" s="374" t="n">
        <f aca="false">G22*(1/INDEX('Set up'!$D$45:$O$45,1,$G$1))</f>
        <v>0</v>
      </c>
      <c r="H36" s="375"/>
      <c r="I36" s="381" t="n">
        <f aca="false">I22*100/((VLOOKUP(I$16,'Set up'!$A$50:$B$54,2,0)))</f>
        <v>0</v>
      </c>
      <c r="J36" s="381"/>
      <c r="K36" s="382" t="n">
        <f aca="false">K22*100/((VLOOKUP(K$16,'Set up'!$A$50:$B$54,2,0)))</f>
        <v>0</v>
      </c>
      <c r="L36" s="383"/>
      <c r="M36" s="382" t="n">
        <f aca="false">M22*100/((VLOOKUP(M$16,'Set up'!$A$50:$B$54,2,0)))</f>
        <v>0</v>
      </c>
      <c r="N36" s="383"/>
      <c r="O36" s="382" t="n">
        <f aca="false">O22*100/((VLOOKUP(O$16,'Set up'!$A$50:$B$54,2,0)))</f>
        <v>0</v>
      </c>
      <c r="P36" s="383"/>
      <c r="Q36" s="382" t="n">
        <f aca="false">Q22*100/((VLOOKUP(Q$16,'Set up'!$A$50:$B$54,2,0)))</f>
        <v>0</v>
      </c>
      <c r="R36" s="383"/>
    </row>
    <row r="37" s="42" customFormat="true" ht="14.65" hidden="false" customHeight="false" outlineLevel="0" collapsed="false">
      <c r="E37" s="379" t="str">
        <f aca="false">B23</f>
        <v>Bull Calves</v>
      </c>
      <c r="F37" s="380"/>
      <c r="G37" s="369" t="n">
        <f aca="false">G23*(1/INDEX('Set up'!$D$45:$O$45,1,$G$1))</f>
        <v>0</v>
      </c>
      <c r="H37" s="370"/>
      <c r="I37" s="371" t="n">
        <f aca="false">I23*100/((VLOOKUP(I$16,'Set up'!$A$50:$B$54,2,0)))</f>
        <v>0</v>
      </c>
      <c r="J37" s="371"/>
      <c r="K37" s="369" t="n">
        <f aca="false">K23*100/((VLOOKUP(K$16,'Set up'!$A$50:$B$54,2,0)))</f>
        <v>0</v>
      </c>
      <c r="L37" s="370"/>
      <c r="M37" s="369" t="n">
        <f aca="false">M23*100/((VLOOKUP(M$16,'Set up'!$A$50:$B$54,2,0)))</f>
        <v>0</v>
      </c>
      <c r="N37" s="370"/>
      <c r="O37" s="369" t="n">
        <f aca="false">O23*100/((VLOOKUP(O$16,'Set up'!$A$50:$B$54,2,0)))</f>
        <v>0</v>
      </c>
      <c r="P37" s="370"/>
      <c r="Q37" s="369" t="n">
        <f aca="false">Q23*100/((VLOOKUP(Q$16,'Set up'!$A$50:$B$54,2,0)))</f>
        <v>0</v>
      </c>
      <c r="R37" s="370"/>
    </row>
    <row r="38" s="105" customFormat="true" ht="14.95" hidden="false" customHeight="false" outlineLevel="0" collapsed="false">
      <c r="B38" s="384"/>
      <c r="C38" s="385"/>
      <c r="D38" s="386"/>
      <c r="E38" s="386"/>
      <c r="F38" s="387" t="s">
        <v>192</v>
      </c>
      <c r="G38" s="388" t="n">
        <f aca="false">(($G17*$D17)+($G18*$D18)+($G19*$D19)+($G20*$D20)+($G21*$D21)+($G22*$D22)+($G23*$D23))*(1/INDEX('Set up'!$D45:$O45,1,$G$1))</f>
        <v>5352.94117647059</v>
      </c>
      <c r="H38" s="388"/>
      <c r="I38" s="389" t="n">
        <f aca="false">((I17*$D17)+(I18*$D18)+(I19*$D19)+(I20*$D20)+(I21*$D21)+(I22*$D22)+(I23*$D23))*(100/VLOOKUP($F6,'Set up'!$A$50:$C$54,2,0))</f>
        <v>0</v>
      </c>
      <c r="J38" s="390"/>
      <c r="K38" s="389" t="n">
        <f aca="false">((K17*$D17)+(K18*$D18)+(K19*$D19)+(K20*$D20)+(K21*$D21)+(K22*$D22)+(K23*$D23))*(100/VLOOKUP($F7,'Set up'!$A$50:$C$54,2,0))</f>
        <v>0</v>
      </c>
      <c r="L38" s="390"/>
      <c r="M38" s="389" t="n">
        <f aca="false">((M17*$D17)+(M18*$D18)+(M19*$D19)+(M20*$D20)+(M21*$D21)+(M22*$D22)+(M23*$D23))*(100/VLOOKUP($F8,'Set up'!$A$50:$C$54,2,0))</f>
        <v>0</v>
      </c>
      <c r="N38" s="390"/>
      <c r="O38" s="389" t="n">
        <f aca="false">((O17*$D17)+(O18*$D18)+(O19*$D19)+(O20*$D20)+(O21*$D21)+(O22*$D22)+(O23*$D23))*(100/VLOOKUP($F9,'Set up'!$A$50:$C$54,2,0))</f>
        <v>0</v>
      </c>
      <c r="P38" s="390"/>
      <c r="Q38" s="389" t="n">
        <f aca="false">((Q17*$D17)+(Q18*$D18)+(Q19*$D19)+(Q20*$D20)+(Q21*$D21)+(Q22*$D22)+(Q23*$D23))*(100/VLOOKUP($F10,'Set up'!$A$50:$C$54,2,0))</f>
        <v>0</v>
      </c>
      <c r="R38" s="390"/>
      <c r="S38" s="331"/>
    </row>
    <row r="39" s="42" customFormat="true" ht="14.95" hidden="false" customHeight="false" outlineLevel="0" collapsed="false">
      <c r="B39" s="391"/>
      <c r="C39" s="392"/>
      <c r="D39" s="392"/>
      <c r="E39" s="392"/>
      <c r="F39" s="393" t="s">
        <v>193</v>
      </c>
      <c r="G39" s="394" t="n">
        <f aca="false">G38*$C$5</f>
        <v>149882.352941176</v>
      </c>
      <c r="H39" s="394"/>
      <c r="I39" s="395" t="n">
        <f aca="false">I38*$C$5</f>
        <v>0</v>
      </c>
      <c r="J39" s="396"/>
      <c r="K39" s="395" t="n">
        <f aca="false">K38*$C$5</f>
        <v>0</v>
      </c>
      <c r="L39" s="396"/>
      <c r="M39" s="395" t="n">
        <f aca="false">M38*$C$5</f>
        <v>0</v>
      </c>
      <c r="N39" s="396"/>
      <c r="O39" s="395" t="n">
        <f aca="false">O38*$C$5</f>
        <v>0</v>
      </c>
      <c r="P39" s="396"/>
      <c r="Q39" s="395" t="n">
        <f aca="false">Q38*$C$5</f>
        <v>0</v>
      </c>
      <c r="R39" s="396"/>
    </row>
    <row r="40" s="42" customFormat="true" ht="14.95" hidden="false" customHeight="false" outlineLevel="0" collapsed="false">
      <c r="B40" s="42" t="s">
        <v>194</v>
      </c>
    </row>
    <row r="41" s="42" customFormat="true" ht="14.75" hidden="false" customHeight="true" outlineLevel="0" collapsed="false"/>
    <row r="42" customFormat="false" ht="14.75" hidden="false" customHeight="true" outlineLevel="0" collapsed="false">
      <c r="Q42" s="52"/>
      <c r="R42" s="52"/>
      <c r="S42" s="44"/>
    </row>
    <row r="43" s="42" customFormat="true" ht="32" hidden="false" customHeight="true" outlineLevel="0" collapsed="false">
      <c r="B43" s="208" t="s">
        <v>195</v>
      </c>
    </row>
    <row r="44" s="42" customFormat="true" ht="32" hidden="false" customHeight="true" outlineLevel="0" collapsed="false">
      <c r="B44" s="208"/>
    </row>
    <row r="45" s="42" customFormat="true" ht="14.65" hidden="false" customHeight="false" outlineLevel="0" collapsed="false">
      <c r="B45" s="44"/>
      <c r="C45" s="237"/>
      <c r="D45" s="397"/>
      <c r="E45" s="397"/>
      <c r="F45" s="398" t="s">
        <v>196</v>
      </c>
      <c r="G45" s="399" t="n">
        <f aca="true">IF(G1=1,'Set up'!$D$35,INDIRECT("period"&amp;$G$1-1&amp;"!G46"))</f>
        <v>2855.55701201534</v>
      </c>
      <c r="H45" s="400" t="s">
        <v>197</v>
      </c>
      <c r="I45" s="401"/>
      <c r="J45" s="402"/>
      <c r="K45" s="213" t="str">
        <f aca="false">IF(G1=1,"*NB: For Period1, enter the opening  Av Farm Cover in cell D37 in 'Set up'","NB: Opening av farm cover is the previous period's forecasted closing av farm cover")</f>
        <v>NB: Opening av farm cover is the previous period's forecasted closing av farm cover</v>
      </c>
      <c r="P45" s="44"/>
      <c r="V45" s="345"/>
      <c r="W45" s="2"/>
    </row>
    <row r="46" s="42" customFormat="true" ht="14.65" hidden="false" customHeight="false" outlineLevel="0" collapsed="false">
      <c r="B46" s="44"/>
      <c r="C46" s="403"/>
      <c r="D46" s="404"/>
      <c r="E46" s="404"/>
      <c r="F46" s="405" t="s">
        <v>198</v>
      </c>
      <c r="G46" s="406" t="n">
        <f aca="false">($G$45+ ($C$5*$C$12) -(G39/C11))</f>
        <v>2196.73348260358</v>
      </c>
      <c r="H46" s="407" t="s">
        <v>197</v>
      </c>
      <c r="I46" s="408"/>
      <c r="J46" s="409"/>
      <c r="K46" s="410"/>
      <c r="P46" s="44"/>
    </row>
    <row r="47" s="42" customFormat="true" ht="14.65" hidden="false" customHeight="false" outlineLevel="0" collapsed="false">
      <c r="B47" s="44"/>
      <c r="C47" s="411"/>
      <c r="D47" s="412"/>
      <c r="E47" s="412"/>
      <c r="F47" s="413" t="s">
        <v>199</v>
      </c>
      <c r="G47" s="429" t="n">
        <f aca="false">INDEX('Set up'!$D37:$O37,1,G1)</f>
        <v>2000</v>
      </c>
      <c r="H47" s="415" t="s">
        <v>197</v>
      </c>
      <c r="I47" s="416"/>
      <c r="J47" s="417"/>
      <c r="K47" s="410"/>
      <c r="P47" s="331"/>
      <c r="V47" s="345"/>
    </row>
    <row r="48" s="42" customFormat="true" ht="14.65" hidden="false" customHeight="false" outlineLevel="0" collapsed="false">
      <c r="B48" s="44"/>
      <c r="C48" s="247"/>
      <c r="D48" s="418"/>
      <c r="E48" s="418"/>
      <c r="F48" s="419" t="s">
        <v>200</v>
      </c>
      <c r="G48" s="420" t="n">
        <f aca="false">G46-G47</f>
        <v>196.733482603576</v>
      </c>
      <c r="H48" s="407" t="s">
        <v>197</v>
      </c>
      <c r="I48" s="408"/>
      <c r="J48" s="421"/>
      <c r="K48" s="422" t="s">
        <v>201</v>
      </c>
      <c r="P48" s="331"/>
    </row>
    <row r="49" s="42" customFormat="true" ht="14.65" hidden="false" customHeight="false" outlineLevel="0" collapsed="false">
      <c r="B49" s="44"/>
      <c r="C49" s="269"/>
      <c r="D49" s="423"/>
      <c r="E49" s="423"/>
      <c r="F49" s="424" t="s">
        <v>202</v>
      </c>
      <c r="G49" s="425" t="n">
        <f aca="false">G48*C11</f>
        <v>19673.3482603576</v>
      </c>
      <c r="H49" s="426" t="str">
        <f aca="false">"kg DM total over  nett "&amp;C11&amp;" ha"</f>
        <v>kg DM total over  nett 100 ha</v>
      </c>
      <c r="I49" s="427"/>
      <c r="J49" s="428"/>
      <c r="K49" s="410"/>
      <c r="P49" s="331"/>
      <c r="Q49" s="42" t="str">
        <f aca="false">CONCATENATE(Q43,S43)</f>
        <v/>
      </c>
    </row>
  </sheetData>
  <sheetProtection sheet="true" objects="true" scenarios="true" selectLockedCells="true"/>
  <mergeCells count="1">
    <mergeCell ref="Y15:AD15"/>
  </mergeCells>
  <dataValidations count="4">
    <dataValidation allowBlank="false" operator="equal" showDropDown="false" showErrorMessage="false" showInputMessage="false" sqref="F6 F8:F10" type="list">
      <formula1>'Set up'!$A$50:$A$54</formula1>
      <formula2>0</formula2>
    </dataValidation>
    <dataValidation allowBlank="false" operator="equal" showDropDown="false" showErrorMessage="false" showInputMessage="false" sqref="F7" type="list">
      <formula1>'Set up'!$A$50:$A$54</formula1>
      <formula2>0</formula2>
    </dataValidation>
    <dataValidation allowBlank="true" operator="equal" showDropDown="false" showErrorMessage="false" showInputMessage="false" sqref="B17" type="list">
      <formula1>'Set up'!$B$62:$B$90</formula1>
      <formula2>0</formula2>
    </dataValidation>
    <dataValidation allowBlank="true" operator="equal" showDropDown="false" showErrorMessage="false" showInputMessage="false" sqref="B18:B23" type="list">
      <formula1>'Set up'!$B$62:$B$89</formula1>
      <formula2>0</formula2>
    </dataValidation>
  </dataValidation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&amp;C&amp;"Arial,Regular"&amp;A</oddHeader>
    <oddFooter>&amp;C&amp;"Arial,Regular"Page &amp;P</oddFooter>
  </headerFooter>
  <drawing r:id="rId2"/>
  <legacyDrawing r:id="rId3"/>
</worksheet>
</file>

<file path=xl/worksheets/sheet15.xml><?xml version="1.0" encoding="utf-8"?>
<worksheet xmlns="http://schemas.openxmlformats.org/spreadsheetml/2006/main" xmlns:r="http://schemas.openxmlformats.org/officeDocument/2006/relationships">
  <sheetPr filterMode="false">
    <pageSetUpPr fitToPage="false"/>
  </sheetPr>
  <dimension ref="A1:AD49"/>
  <sheetViews>
    <sheetView showFormulas="false" showGridLines="false" showRowColHeaders="true" showZeros="true" rightToLeft="false" tabSelected="false" showOutlineSymbols="true" defaultGridColor="true" view="normal" topLeftCell="A1" colorId="64" zoomScale="110" zoomScaleNormal="110" zoomScalePageLayoutView="100" workbookViewId="0">
      <selection pane="topLeft" activeCell="B2" activeCellId="0" sqref="B2"/>
    </sheetView>
  </sheetViews>
  <sheetFormatPr defaultRowHeight="14.65" zeroHeight="false" outlineLevelRow="0" outlineLevelCol="0"/>
  <cols>
    <col collapsed="false" customWidth="true" hidden="false" outlineLevel="0" max="1" min="1" style="42" width="4.08"/>
    <col collapsed="false" customWidth="true" hidden="false" outlineLevel="0" max="2" min="2" style="42" width="30.91"/>
    <col collapsed="false" customWidth="true" hidden="false" outlineLevel="0" max="3" min="3" style="42" width="9.88"/>
    <col collapsed="false" customWidth="true" hidden="false" outlineLevel="0" max="4" min="4" style="42" width="10.51"/>
    <col collapsed="false" customWidth="true" hidden="false" outlineLevel="0" max="5" min="5" style="42" width="12.08"/>
    <col collapsed="false" customWidth="true" hidden="false" outlineLevel="0" max="6" min="6" style="42" width="11.76"/>
    <col collapsed="false" customWidth="true" hidden="false" outlineLevel="0" max="7" min="7" style="42" width="10.2"/>
    <col collapsed="false" customWidth="true" hidden="false" outlineLevel="0" max="8" min="8" style="42" width="5.1"/>
    <col collapsed="false" customWidth="true" hidden="false" outlineLevel="0" max="9" min="9" style="42" width="10.2"/>
    <col collapsed="false" customWidth="true" hidden="false" outlineLevel="0" max="10" min="10" style="42" width="5.1"/>
    <col collapsed="false" customWidth="true" hidden="false" outlineLevel="0" max="11" min="11" style="42" width="10.2"/>
    <col collapsed="false" customWidth="true" hidden="false" outlineLevel="0" max="12" min="12" style="42" width="5.1"/>
    <col collapsed="false" customWidth="true" hidden="false" outlineLevel="0" max="13" min="13" style="42" width="10.2"/>
    <col collapsed="false" customWidth="true" hidden="false" outlineLevel="0" max="14" min="14" style="42" width="5.1"/>
    <col collapsed="false" customWidth="true" hidden="false" outlineLevel="0" max="15" min="15" style="42" width="10.2"/>
    <col collapsed="false" customWidth="true" hidden="false" outlineLevel="0" max="16" min="16" style="42" width="5.1"/>
    <col collapsed="false" customWidth="true" hidden="false" outlineLevel="0" max="17" min="17" style="42" width="10.2"/>
    <col collapsed="false" customWidth="true" hidden="false" outlineLevel="0" max="18" min="18" style="42" width="5.1"/>
    <col collapsed="false" customWidth="true" hidden="false" outlineLevel="0" max="19" min="19" style="105" width="4.08"/>
    <col collapsed="false" customWidth="true" hidden="false" outlineLevel="0" max="1025" min="20" style="42" width="13.38"/>
  </cols>
  <sheetData>
    <row r="1" customFormat="false" ht="26.55" hidden="false" customHeight="false" outlineLevel="0" collapsed="false">
      <c r="B1" s="197" t="s">
        <v>151</v>
      </c>
      <c r="C1" s="198" t="str">
        <f aca="false">'Set up'!D4</f>
        <v>Farm A</v>
      </c>
      <c r="D1" s="199"/>
      <c r="E1" s="200"/>
      <c r="F1" s="200" t="s">
        <v>152</v>
      </c>
      <c r="G1" s="201" t="n">
        <v>12</v>
      </c>
      <c r="H1" s="202"/>
      <c r="I1" s="44"/>
      <c r="J1" s="44"/>
      <c r="M1" s="203" t="s">
        <v>153</v>
      </c>
      <c r="N1" s="105"/>
      <c r="O1" s="47"/>
      <c r="P1" s="47"/>
      <c r="S1" s="52"/>
    </row>
    <row r="2" customFormat="false" ht="32.35" hidden="false" customHeight="false" outlineLevel="0" collapsed="false">
      <c r="B2" s="430" t="s">
        <v>2</v>
      </c>
      <c r="C2" s="198"/>
      <c r="D2" s="199"/>
      <c r="E2" s="205"/>
      <c r="F2" s="206" t="s">
        <v>154</v>
      </c>
      <c r="I2" s="56"/>
      <c r="J2" s="56"/>
      <c r="K2" s="207"/>
      <c r="L2" s="207"/>
      <c r="M2" s="44"/>
      <c r="N2" s="44"/>
      <c r="O2" s="47"/>
      <c r="P2" s="47"/>
      <c r="S2" s="52"/>
    </row>
    <row r="3" s="42" customFormat="true" ht="26.45" hidden="false" customHeight="false" outlineLevel="0" collapsed="false">
      <c r="B3" s="208" t="s">
        <v>155</v>
      </c>
      <c r="D3" s="56"/>
      <c r="I3" s="209" t="s">
        <v>156</v>
      </c>
      <c r="J3" s="210"/>
    </row>
    <row r="4" s="42" customFormat="true" ht="14.65" hidden="false" customHeight="false" outlineLevel="0" collapsed="false">
      <c r="B4" s="211" t="s">
        <v>157</v>
      </c>
      <c r="C4" s="212" t="n">
        <f aca="false">HLOOKUP($G$1,'Set up'!$D$12:$O$15,3,0)</f>
        <v>43525</v>
      </c>
      <c r="D4" s="213"/>
      <c r="F4" s="214"/>
      <c r="G4" s="215" t="s">
        <v>158</v>
      </c>
      <c r="H4" s="216"/>
      <c r="I4" s="217" t="s">
        <v>159</v>
      </c>
      <c r="J4" s="216"/>
      <c r="K4" s="218" t="s">
        <v>160</v>
      </c>
      <c r="L4" s="219"/>
      <c r="M4" s="220" t="s">
        <v>161</v>
      </c>
      <c r="N4" s="221"/>
      <c r="O4" s="105"/>
      <c r="P4" s="222"/>
      <c r="Q4" s="105"/>
      <c r="R4" s="105"/>
    </row>
    <row r="5" s="42" customFormat="true" ht="14.65" hidden="false" customHeight="false" outlineLevel="0" collapsed="false">
      <c r="B5" s="223" t="s">
        <v>162</v>
      </c>
      <c r="C5" s="224" t="n">
        <f aca="false">HLOOKUP($G$1,'Set up'!$D$12:$O$15,4,0)</f>
        <v>31</v>
      </c>
      <c r="D5" s="199"/>
      <c r="F5" s="222" t="s">
        <v>163</v>
      </c>
      <c r="G5" s="225" t="s">
        <v>164</v>
      </c>
      <c r="H5" s="226"/>
      <c r="I5" s="227" t="s">
        <v>165</v>
      </c>
      <c r="J5" s="227"/>
      <c r="K5" s="228" t="s">
        <v>165</v>
      </c>
      <c r="L5" s="229"/>
      <c r="M5" s="230" t="s">
        <v>164</v>
      </c>
      <c r="N5" s="231"/>
      <c r="O5" s="222"/>
      <c r="P5" s="222"/>
      <c r="Q5" s="105"/>
      <c r="R5" s="232"/>
    </row>
    <row r="6" s="42" customFormat="true" ht="14.65" hidden="false" customHeight="false" outlineLevel="0" collapsed="false">
      <c r="B6" s="233" t="s">
        <v>166</v>
      </c>
      <c r="C6" s="234" t="n">
        <f aca="false">C4+C5</f>
        <v>43556</v>
      </c>
      <c r="D6" s="199"/>
      <c r="F6" s="235" t="s">
        <v>131</v>
      </c>
      <c r="G6" s="236" t="n">
        <f aca="false">IF($G$1=1, VLOOKUP(F6,'Set up'!$A$50:$D$54,3,0),VLOOKUP(F6,'Set up'!$A$50:$O$54,$G$1+2,0))</f>
        <v>162952.941176471</v>
      </c>
      <c r="H6" s="237"/>
      <c r="I6" s="238" t="n">
        <f aca="false">(($D$17*I$17*$C$5)+($D$18*I$18*$C$5)+($D$19*I$19*$C$5)+($D$20*I$20*$C$5)+($D$21*I$21*$C$5)+($D$22*I$22*$C$5)+($D$23*I$23*$C$5))*(100/VLOOKUP(F6,'Set up'!$A$50:$C$54,2,0))</f>
        <v>7294.11764705882</v>
      </c>
      <c r="J6" s="239"/>
      <c r="K6" s="240" t="n">
        <v>0</v>
      </c>
      <c r="L6" s="237"/>
      <c r="M6" s="241" t="n">
        <f aca="false">G6-I6+K6</f>
        <v>155658.823529412</v>
      </c>
      <c r="N6" s="242"/>
      <c r="O6" s="44"/>
      <c r="P6" s="44"/>
      <c r="Q6" s="105"/>
      <c r="R6" s="243"/>
    </row>
    <row r="7" s="42" customFormat="true" ht="14.65" hidden="false" customHeight="false" outlineLevel="0" collapsed="false">
      <c r="B7" s="244"/>
      <c r="C7" s="213"/>
      <c r="F7" s="245" t="s">
        <v>129</v>
      </c>
      <c r="G7" s="246" t="n">
        <f aca="false">IF($G$1=1, VLOOKUP(F7,'Set up'!$A$50:$D$54,3,0),VLOOKUP(F7,'Set up'!$A$50:$O$54,$G$1+2,0))</f>
        <v>72173.3333333333</v>
      </c>
      <c r="H7" s="247"/>
      <c r="I7" s="248" t="n">
        <f aca="false">((($D$17*K$17*$C$5)+($D$18*K$18*$C$5)+($D$19*K$19*$C$5)+($D$20*K$20*$C$5)+($D$21*K$21*$C$5)+($D$22*K$22*$C$5)+($D$23*K$23*$C$5)))*(100/VLOOKUP(F7,'Set up'!$A$50:$C$54,2,0))</f>
        <v>12400</v>
      </c>
      <c r="J7" s="249"/>
      <c r="K7" s="250" t="n">
        <v>0</v>
      </c>
      <c r="L7" s="247"/>
      <c r="M7" s="251" t="n">
        <f aca="false">G7-I7+K7</f>
        <v>59773.3333333333</v>
      </c>
      <c r="N7" s="252"/>
      <c r="O7" s="44"/>
      <c r="P7" s="44"/>
      <c r="Q7" s="105"/>
      <c r="R7" s="243"/>
    </row>
    <row r="8" s="42" customFormat="true" ht="14.65" hidden="false" customHeight="false" outlineLevel="0" collapsed="false">
      <c r="B8" s="253" t="s">
        <v>167</v>
      </c>
      <c r="C8" s="254" t="n">
        <f aca="false">'Set up'!D7</f>
        <v>100</v>
      </c>
      <c r="D8" s="255" t="s">
        <v>168</v>
      </c>
      <c r="F8" s="256" t="s">
        <v>130</v>
      </c>
      <c r="G8" s="236" t="n">
        <f aca="false">IF($G$1=1, VLOOKUP(F8,'Set up'!$A$50:$D$54,3,0),VLOOKUP(F8,'Set up'!$A$50:$O$54,$G$1+2,0))</f>
        <v>0</v>
      </c>
      <c r="H8" s="257"/>
      <c r="I8" s="258" t="n">
        <f aca="false">(($D$17*M$17*$C$5)+($D$18*M$18*$C$5)+($D$19*M$19*$C$5)+($D$20*M$20*$C$5)+($D$21*M$21*$C$5)+($D$22*M$22*$C$5)+($D$23*M$23*$C$5))*(100/VLOOKUP(F8,'Set up'!$A$50:$C$54,2,0))</f>
        <v>0</v>
      </c>
      <c r="J8" s="259"/>
      <c r="K8" s="260" t="n">
        <v>0</v>
      </c>
      <c r="L8" s="257"/>
      <c r="M8" s="241" t="n">
        <f aca="false">G8-I8+K8</f>
        <v>0</v>
      </c>
      <c r="N8" s="261"/>
      <c r="O8" s="44"/>
      <c r="P8" s="44"/>
      <c r="Q8" s="105"/>
      <c r="R8" s="243"/>
      <c r="T8" s="262"/>
    </row>
    <row r="9" s="42" customFormat="true" ht="14.65" hidden="false" customHeight="false" outlineLevel="0" collapsed="false">
      <c r="B9" s="263" t="s">
        <v>169</v>
      </c>
      <c r="C9" s="264" t="n">
        <v>0</v>
      </c>
      <c r="D9" s="265" t="n">
        <f aca="true">IF($G$1&lt;&gt;1,INDIRECT("period"&amp;$G$1-1&amp;"!c9"),0)</f>
        <v>0</v>
      </c>
      <c r="F9" s="245" t="s">
        <v>132</v>
      </c>
      <c r="G9" s="246" t="n">
        <f aca="false">IF($G$1=1, VLOOKUP(F9,'Set up'!$A$50:$D$54,3,0),VLOOKUP(F9,'Set up'!$A$50:$O$54,$G$1+2,0))</f>
        <v>0</v>
      </c>
      <c r="H9" s="247"/>
      <c r="I9" s="248" t="n">
        <f aca="false">(($D$17*O$17*$C$5)+($D$18*O$18*$C$5)+($D$19*O$19*$C$5)+($D$20*O$20*$C$5)+($D$21*O$21*$C$5)+($D$22*O$22*$C$5)+($D$23*O$23*$C$5))*(100/VLOOKUP(F9,'Set up'!$A$50:$C$54,2,0))</f>
        <v>0</v>
      </c>
      <c r="J9" s="249"/>
      <c r="K9" s="250" t="n">
        <v>0</v>
      </c>
      <c r="L9" s="247"/>
      <c r="M9" s="251" t="n">
        <f aca="false">G9-I9+K9</f>
        <v>0</v>
      </c>
      <c r="N9" s="252"/>
      <c r="O9" s="44"/>
      <c r="P9" s="44"/>
      <c r="Q9" s="105"/>
      <c r="R9" s="243"/>
    </row>
    <row r="10" s="42" customFormat="true" ht="14.65" hidden="false" customHeight="false" outlineLevel="0" collapsed="false">
      <c r="B10" s="263" t="s">
        <v>170</v>
      </c>
      <c r="C10" s="266" t="n">
        <v>0</v>
      </c>
      <c r="D10" s="265" t="n">
        <f aca="true">IF($G$1&lt;&gt;1,INDIRECT("period"&amp;$G$1-1&amp;"!c10"),0)</f>
        <v>0</v>
      </c>
      <c r="F10" s="267" t="s">
        <v>133</v>
      </c>
      <c r="G10" s="268" t="n">
        <f aca="false">IF($G$1=1, VLOOKUP(F10,'Set up'!$A$50:$D$54,3,0),VLOOKUP(F10,'Set up'!$A$50:$O$54,$G$1+2,0))</f>
        <v>831.578947368422</v>
      </c>
      <c r="H10" s="269"/>
      <c r="I10" s="270" t="n">
        <f aca="false">(($D$17*Q$17*$C$5)+($D$18*Q$18*$C$5)+($D$19*Q$19*$C$5)+($D$20*Q$20*$C$5)+($D$21*Q$21*$C$5)+($D$22*Q$22*$C$5)+($D$23*Q$23*$C$5))*(100/VLOOKUP(F10,'Set up'!$A$50:$C$54,2,0))</f>
        <v>0</v>
      </c>
      <c r="J10" s="271"/>
      <c r="K10" s="272" t="n">
        <v>0</v>
      </c>
      <c r="L10" s="269"/>
      <c r="M10" s="273" t="n">
        <f aca="false">G10-I10+K10</f>
        <v>831.578947368422</v>
      </c>
      <c r="N10" s="274"/>
      <c r="O10" s="44"/>
      <c r="P10" s="44"/>
      <c r="Q10" s="105"/>
      <c r="R10" s="243"/>
    </row>
    <row r="11" s="42" customFormat="true" ht="14.65" hidden="false" customHeight="false" outlineLevel="0" collapsed="false">
      <c r="B11" s="275" t="s">
        <v>171</v>
      </c>
      <c r="C11" s="276" t="n">
        <f aca="false">C8-C9-C10</f>
        <v>100</v>
      </c>
      <c r="D11" s="265" t="n">
        <f aca="true">IF($G$1&lt;&gt;1,INDIRECT("period"&amp;$G$1-1&amp;"!c11"),0)</f>
        <v>100</v>
      </c>
      <c r="F11" s="42" t="s">
        <v>172</v>
      </c>
    </row>
    <row r="12" s="42" customFormat="true" ht="14.65" hidden="false" customHeight="false" outlineLevel="0" collapsed="false">
      <c r="A12" s="44"/>
      <c r="B12" s="277" t="s">
        <v>173</v>
      </c>
      <c r="C12" s="278" t="n">
        <f aca="false">INDEX('Set up'!D30:O30,1,G1)</f>
        <v>30</v>
      </c>
      <c r="D12" s="279" t="s">
        <v>174</v>
      </c>
      <c r="E12" s="44"/>
      <c r="F12" s="105" t="s">
        <v>175</v>
      </c>
      <c r="G12" s="105"/>
      <c r="H12" s="105"/>
      <c r="I12" s="105"/>
      <c r="J12" s="105"/>
    </row>
    <row r="13" s="42" customFormat="true" ht="14.65" hidden="false" customHeight="false" outlineLevel="0" collapsed="false">
      <c r="B13" s="2"/>
      <c r="C13" s="2"/>
      <c r="D13" s="2"/>
    </row>
    <row r="14" s="42" customFormat="true" ht="14.65" hidden="false" customHeight="false" outlineLevel="0" collapsed="false">
      <c r="B14" s="2"/>
      <c r="C14" s="2"/>
      <c r="D14" s="2"/>
      <c r="F14" s="280"/>
    </row>
    <row r="15" s="42" customFormat="true" ht="57.25" hidden="false" customHeight="true" outlineLevel="0" collapsed="false">
      <c r="B15" s="208" t="s">
        <v>176</v>
      </c>
      <c r="C15" s="281"/>
      <c r="D15" s="282"/>
      <c r="G15" s="283" t="s">
        <v>177</v>
      </c>
      <c r="N15" s="284"/>
      <c r="Y15" s="285"/>
      <c r="Z15" s="285"/>
      <c r="AA15" s="285"/>
      <c r="AB15" s="285"/>
      <c r="AC15" s="285"/>
      <c r="AD15" s="285"/>
    </row>
    <row r="16" customFormat="false" ht="47.7" hidden="false" customHeight="true" outlineLevel="0" collapsed="false">
      <c r="B16" s="286" t="s">
        <v>178</v>
      </c>
      <c r="C16" s="287" t="s">
        <v>179</v>
      </c>
      <c r="D16" s="288" t="s">
        <v>180</v>
      </c>
      <c r="E16" s="289" t="s">
        <v>181</v>
      </c>
      <c r="F16" s="290" t="s">
        <v>182</v>
      </c>
      <c r="G16" s="291" t="s">
        <v>123</v>
      </c>
      <c r="H16" s="292" t="s">
        <v>183</v>
      </c>
      <c r="I16" s="293" t="str">
        <f aca="false">F6</f>
        <v>Meadow Hay</v>
      </c>
      <c r="J16" s="294" t="s">
        <v>183</v>
      </c>
      <c r="K16" s="295" t="str">
        <f aca="false">F7</f>
        <v>Pasture Silage</v>
      </c>
      <c r="L16" s="292" t="s">
        <v>183</v>
      </c>
      <c r="M16" s="293" t="str">
        <f aca="false">F8</f>
        <v>Maize Silage</v>
      </c>
      <c r="N16" s="294" t="s">
        <v>183</v>
      </c>
      <c r="O16" s="295" t="str">
        <f aca="false">F9</f>
        <v>Crop</v>
      </c>
      <c r="P16" s="292" t="s">
        <v>183</v>
      </c>
      <c r="Q16" s="293" t="str">
        <f aca="false">F10</f>
        <v>Meal</v>
      </c>
      <c r="R16" s="294" t="s">
        <v>183</v>
      </c>
      <c r="S16" s="296"/>
    </row>
    <row r="17" customFormat="false" ht="14.65" hidden="false" customHeight="false" outlineLevel="0" collapsed="false">
      <c r="B17" s="297" t="s">
        <v>138</v>
      </c>
      <c r="C17" s="298" t="n">
        <f aca="false">VLOOKUP(B17,'Set up'!$B$62:$O$89,2+$G$1,FALSE())</f>
        <v>200</v>
      </c>
      <c r="D17" s="299" t="n">
        <v>150</v>
      </c>
      <c r="E17" s="300" t="str">
        <f aca="false">TRIM(CLEAN(INDEX('Set up'!$D$63:$O$87,MATCH(B17,'Set up'!$B$62:$B$89,0),+$G$1)))</f>
        <v>16</v>
      </c>
      <c r="F17" s="301" t="n">
        <f aca="false">G17+I17+K17+M17+O17+Q17</f>
        <v>16</v>
      </c>
      <c r="G17" s="302" t="n">
        <v>14</v>
      </c>
      <c r="H17" s="303" t="n">
        <f aca="true">IF($G$1&lt;&gt;1,INDIRECT("period"&amp;$G$1-1&amp;"!G17"),0)</f>
        <v>16</v>
      </c>
      <c r="I17" s="302" t="n">
        <v>0</v>
      </c>
      <c r="J17" s="303" t="n">
        <f aca="true">IF($G$1&lt;&gt;1,INDIRECT("period"&amp;$G$1-1&amp;"!I17"),0)</f>
        <v>0</v>
      </c>
      <c r="K17" s="302" t="n">
        <v>2</v>
      </c>
      <c r="L17" s="303" t="n">
        <f aca="true">IF($G$1&lt;&gt;1,INDIRECT("period"&amp;$G$1-1&amp;"!K17"),0)</f>
        <v>0</v>
      </c>
      <c r="M17" s="302" t="n">
        <v>0</v>
      </c>
      <c r="N17" s="303" t="n">
        <f aca="true">IF($G$1&lt;&gt;1,INDIRECT("period"&amp;$G$1-1&amp;"!M17"),0)</f>
        <v>0</v>
      </c>
      <c r="O17" s="302" t="n">
        <v>0</v>
      </c>
      <c r="P17" s="303" t="n">
        <f aca="true">IF($G$1&lt;&gt;1,INDIRECT("period"&amp;$G$1-1&amp;"!O17"),0)</f>
        <v>0</v>
      </c>
      <c r="Q17" s="304" t="n">
        <v>0</v>
      </c>
      <c r="R17" s="305" t="n">
        <f aca="true">IF($G$1&lt;&gt;1,INDIRECT("period"&amp;$G$1-1&amp;"!Q17"),0)</f>
        <v>0</v>
      </c>
      <c r="S17" s="306"/>
    </row>
    <row r="18" customFormat="false" ht="14.65" hidden="false" customHeight="false" outlineLevel="0" collapsed="false">
      <c r="B18" s="307" t="s">
        <v>142</v>
      </c>
      <c r="C18" s="308" t="n">
        <f aca="false">VLOOKUP(B18,'Set up'!$B$62:$O$89,2+$G$1,FALSE())</f>
        <v>0</v>
      </c>
      <c r="D18" s="309" t="n">
        <v>0</v>
      </c>
      <c r="E18" s="310" t="str">
        <f aca="false">TRIM(CLEAN(INDEX('Set up'!$D$63:$O$87,MATCH(B18,'Set up'!$B$62:$B$89,0),+$G$1)))</f>
        <v>0</v>
      </c>
      <c r="F18" s="311" t="n">
        <f aca="false">G18+I18+K18+M18+O18+Q18</f>
        <v>0</v>
      </c>
      <c r="G18" s="312" t="n">
        <v>0</v>
      </c>
      <c r="H18" s="313" t="n">
        <f aca="true">IF($G$1&lt;&gt;1,INDIRECT("period"&amp;$G$1-1&amp;"!G18"),0)</f>
        <v>0</v>
      </c>
      <c r="I18" s="312" t="n">
        <v>0</v>
      </c>
      <c r="J18" s="313" t="n">
        <f aca="true">IF($G$1&lt;&gt;1,INDIRECT("period"&amp;$G$1-1&amp;"!I18"),0)</f>
        <v>0</v>
      </c>
      <c r="K18" s="312" t="n">
        <v>0</v>
      </c>
      <c r="L18" s="313" t="n">
        <f aca="true">IF($G$1&lt;&gt;1,INDIRECT("period"&amp;$G$1-1&amp;"!K18"),0)</f>
        <v>0</v>
      </c>
      <c r="M18" s="312" t="n">
        <v>0</v>
      </c>
      <c r="N18" s="313" t="n">
        <f aca="true">IF($G$1&lt;&gt;1,INDIRECT("period"&amp;$G$1-1&amp;"!M18"),0)</f>
        <v>0</v>
      </c>
      <c r="O18" s="312" t="n">
        <v>0</v>
      </c>
      <c r="P18" s="313" t="n">
        <f aca="true">IF($G$1&lt;&gt;1,INDIRECT("period"&amp;$G$1-1&amp;"!O18"),0)</f>
        <v>0</v>
      </c>
      <c r="Q18" s="312" t="n">
        <v>0</v>
      </c>
      <c r="R18" s="313" t="n">
        <f aca="true">IF($G$1&lt;&gt;1,INDIRECT("period"&amp;$G$1-1&amp;"!Q18"),0)</f>
        <v>0</v>
      </c>
      <c r="S18" s="306"/>
    </row>
    <row r="19" customFormat="false" ht="14.65" hidden="false" customHeight="false" outlineLevel="0" collapsed="false">
      <c r="B19" s="314" t="s">
        <v>143</v>
      </c>
      <c r="C19" s="308" t="n">
        <f aca="false">VLOOKUP(B19,'Set up'!$B$62:$O$89,2+$G$1,FALSE())</f>
        <v>50</v>
      </c>
      <c r="D19" s="315" t="n">
        <v>100</v>
      </c>
      <c r="E19" s="316" t="str">
        <f aca="false">TRIM(CLEAN(INDEX('Set up'!$D$63:$O$87,MATCH(B19,'Set up'!$B$62:$B$89,0),+$G$1)))</f>
        <v>9</v>
      </c>
      <c r="F19" s="317" t="n">
        <f aca="false">G19+I19+K19+M19+O19+Q19</f>
        <v>9</v>
      </c>
      <c r="G19" s="304" t="n">
        <v>7</v>
      </c>
      <c r="H19" s="305" t="n">
        <f aca="true">IF($G$1&lt;&gt;1,INDIRECT("period"&amp;$G$1-1&amp;"!G19"),0)</f>
        <v>0</v>
      </c>
      <c r="I19" s="304" t="n">
        <v>2</v>
      </c>
      <c r="J19" s="305" t="n">
        <f aca="true">IF($G$1&lt;&gt;1,INDIRECT("period"&amp;$G$1-1&amp;"!I19"),0)</f>
        <v>0</v>
      </c>
      <c r="K19" s="304" t="n">
        <v>0</v>
      </c>
      <c r="L19" s="305" t="n">
        <f aca="true">IF($G$1&lt;&gt;1,INDIRECT("period"&amp;$G$1-1&amp;"!K19"),0)</f>
        <v>0</v>
      </c>
      <c r="M19" s="304" t="n">
        <v>0</v>
      </c>
      <c r="N19" s="305" t="n">
        <f aca="true">IF($G$1&lt;&gt;1,INDIRECT("period"&amp;$G$1-1&amp;"!G19"),0)</f>
        <v>0</v>
      </c>
      <c r="O19" s="304" t="n">
        <v>0</v>
      </c>
      <c r="P19" s="305" t="n">
        <f aca="true">IF($G$1&lt;&gt;1,INDIRECT("period"&amp;$G$1-1&amp;"!O19"),0)</f>
        <v>0</v>
      </c>
      <c r="Q19" s="304" t="n">
        <v>0</v>
      </c>
      <c r="R19" s="305" t="n">
        <f aca="true">IF($G$1&lt;&gt;1,INDIRECT("period"&amp;$G$1-1&amp;"!Q19"),0)</f>
        <v>0</v>
      </c>
      <c r="S19" s="306"/>
    </row>
    <row r="20" customFormat="false" ht="14.65" hidden="false" customHeight="false" outlineLevel="0" collapsed="false">
      <c r="B20" s="307" t="s">
        <v>144</v>
      </c>
      <c r="C20" s="308" t="n">
        <f aca="false">VLOOKUP(B20,'Set up'!$B$62:$O$89,2+$G$1,FALSE())</f>
        <v>50</v>
      </c>
      <c r="D20" s="318" t="n">
        <v>50</v>
      </c>
      <c r="E20" s="310" t="str">
        <f aca="false">TRIM(CLEAN(INDEX('Set up'!$D$63:$O$87,MATCH(B20,'Set up'!$B$62:$B$89,0),+$G$1)))</f>
        <v>7</v>
      </c>
      <c r="F20" s="311" t="n">
        <f aca="false">G20+I20+K20+M20+O20+Q20</f>
        <v>7</v>
      </c>
      <c r="G20" s="312" t="n">
        <v>7</v>
      </c>
      <c r="H20" s="313" t="n">
        <f aca="true">IF($G$1&lt;&gt;1,INDIRECT("period"&amp;$G$1-1&amp;"!G20"),0)</f>
        <v>7</v>
      </c>
      <c r="I20" s="312" t="n">
        <v>0</v>
      </c>
      <c r="J20" s="313" t="n">
        <f aca="true">IF($G$1&lt;&gt;1,INDIRECT("period"&amp;$G$1-1&amp;"!I27"),0)</f>
        <v>0</v>
      </c>
      <c r="K20" s="312" t="n">
        <v>0</v>
      </c>
      <c r="L20" s="313" t="n">
        <f aca="true">IF($G$1&lt;&gt;1,INDIRECT("period"&amp;$G$1-1&amp;"!K20"),0)</f>
        <v>0</v>
      </c>
      <c r="M20" s="312" t="n">
        <v>0</v>
      </c>
      <c r="N20" s="313" t="n">
        <f aca="true">IF($G$1&lt;&gt;1,INDIRECT("period"&amp;$G$1-1&amp;"!M20"),0)</f>
        <v>0</v>
      </c>
      <c r="O20" s="312" t="n">
        <v>0</v>
      </c>
      <c r="P20" s="313" t="n">
        <f aca="true">IF($G$1&lt;&gt;1,INDIRECT("period"&amp;$G$1-1&amp;"!O20"),0)</f>
        <v>0</v>
      </c>
      <c r="Q20" s="312" t="n">
        <v>0</v>
      </c>
      <c r="R20" s="313" t="n">
        <f aca="true">IF($G$1&lt;&gt;1,INDIRECT("period"&amp;$G$1-1&amp;"!Q20"),0)</f>
        <v>0</v>
      </c>
      <c r="S20" s="306"/>
    </row>
    <row r="21" customFormat="false" ht="14.65" hidden="false" customHeight="false" outlineLevel="0" collapsed="false">
      <c r="B21" s="314" t="s">
        <v>145</v>
      </c>
      <c r="C21" s="308" t="n">
        <f aca="false">VLOOKUP(B21,'Set up'!$B$62:$O$89,2+$G$1,FALSE())</f>
        <v>50</v>
      </c>
      <c r="D21" s="315" t="n">
        <v>50</v>
      </c>
      <c r="E21" s="316" t="str">
        <f aca="false">TRIM(CLEAN(INDEX('Set up'!$D$63:$O$87,MATCH(B21,'Set up'!$B$62:$B$89,0),+$G$1)))</f>
        <v>4</v>
      </c>
      <c r="F21" s="317" t="n">
        <f aca="false">G21+I21+K21+M21+O21+Q21</f>
        <v>4</v>
      </c>
      <c r="G21" s="304" t="n">
        <v>4</v>
      </c>
      <c r="H21" s="305" t="n">
        <f aca="true">IF($G$1&lt;&gt;1,INDIRECT("period"&amp;$G$1-1&amp;"!G21"),0)</f>
        <v>4</v>
      </c>
      <c r="I21" s="304" t="n">
        <v>0</v>
      </c>
      <c r="J21" s="305" t="n">
        <f aca="true">IF($G$1&lt;&gt;1,INDIRECT("period"&amp;$G$1-1&amp;"!I21"),0)</f>
        <v>0</v>
      </c>
      <c r="K21" s="304" t="n">
        <v>0</v>
      </c>
      <c r="L21" s="305" t="n">
        <f aca="true">IF($G$1&lt;&gt;1,INDIRECT("period"&amp;$G$1-1&amp;"!K21"),0)</f>
        <v>0</v>
      </c>
      <c r="M21" s="304" t="n">
        <v>0</v>
      </c>
      <c r="N21" s="305" t="n">
        <f aca="true">IF($G$1&lt;&gt;1,INDIRECT("period"&amp;$G$1-1&amp;"!M21"),0)</f>
        <v>0</v>
      </c>
      <c r="O21" s="304" t="n">
        <v>0</v>
      </c>
      <c r="P21" s="305" t="n">
        <f aca="true">IF($G$1&lt;&gt;1,INDIRECT("period"&amp;$G$1-1&amp;"!O21"),0)</f>
        <v>0</v>
      </c>
      <c r="Q21" s="304" t="n">
        <v>0</v>
      </c>
      <c r="R21" s="305" t="n">
        <f aca="true">IF($G$1&lt;&gt;1,INDIRECT("period"&amp;$G$1-1&amp;"!Q21"),0)</f>
        <v>0</v>
      </c>
      <c r="S21" s="319"/>
    </row>
    <row r="22" customFormat="false" ht="14.65" hidden="false" customHeight="false" outlineLevel="0" collapsed="false">
      <c r="B22" s="307" t="s">
        <v>147</v>
      </c>
      <c r="C22" s="308" t="n">
        <f aca="false">VLOOKUP(B22,'Set up'!$B$62:$O$89,2+$G$1,FALSE())</f>
        <v>0</v>
      </c>
      <c r="D22" s="318" t="n">
        <v>0</v>
      </c>
      <c r="E22" s="310" t="str">
        <f aca="false">TRIM(CLEAN(INDEX('Set up'!$D$63:$O$87,MATCH(B22,'Set up'!$B$62:$B$89,0),+$G$1)))</f>
        <v>0</v>
      </c>
      <c r="F22" s="311" t="n">
        <f aca="false">G22+I22+K22+M22+O22+Q22</f>
        <v>0</v>
      </c>
      <c r="G22" s="312" t="n">
        <v>0</v>
      </c>
      <c r="H22" s="313" t="n">
        <f aca="true">IF($G$1&lt;&gt;1,INDIRECT("period"&amp;$G$1-1&amp;"!G22"),0)</f>
        <v>0</v>
      </c>
      <c r="I22" s="312" t="n">
        <v>0</v>
      </c>
      <c r="J22" s="313" t="n">
        <f aca="true">IF($G$1&lt;&gt;1,INDIRECT("period"&amp;$G$1-1&amp;"!i22"),0)</f>
        <v>0</v>
      </c>
      <c r="K22" s="312" t="n">
        <v>0</v>
      </c>
      <c r="L22" s="313" t="n">
        <f aca="true">IF($G$1&lt;&gt;1,INDIRECT("period"&amp;$G$1-1&amp;"!G22"),0)</f>
        <v>0</v>
      </c>
      <c r="M22" s="312" t="n">
        <v>0</v>
      </c>
      <c r="N22" s="313" t="n">
        <f aca="true">IF($G$1&lt;&gt;1,INDIRECT("period"&amp;$G$1-1&amp;"!M22"),0)</f>
        <v>0</v>
      </c>
      <c r="O22" s="312" t="n">
        <v>0</v>
      </c>
      <c r="P22" s="313" t="n">
        <f aca="true">IF($G$1&lt;&gt;1,INDIRECT("period"&amp;$G$1-1&amp;"!O22"),0)</f>
        <v>0</v>
      </c>
      <c r="Q22" s="312" t="n">
        <v>0</v>
      </c>
      <c r="R22" s="313" t="n">
        <f aca="true">IF($G$1&lt;&gt;1,INDIRECT("period"&amp;$G$1-1&amp;"!Q22"),0)</f>
        <v>0</v>
      </c>
      <c r="S22" s="306"/>
    </row>
    <row r="23" customFormat="false" ht="14.65" hidden="false" customHeight="false" outlineLevel="0" collapsed="false">
      <c r="B23" s="320" t="s">
        <v>146</v>
      </c>
      <c r="C23" s="321" t="n">
        <f aca="false">VLOOKUP(B23,'Set up'!$B$62:$O$89,2+$G$1,FALSE())</f>
        <v>0</v>
      </c>
      <c r="D23" s="322" t="n">
        <v>0</v>
      </c>
      <c r="E23" s="323" t="str">
        <f aca="false">TRIM(CLEAN(INDEX('Set up'!$D$63:$O$87,MATCH(B23,'Set up'!$B$62:$B$89,0),+$G$1)))</f>
        <v>0</v>
      </c>
      <c r="F23" s="324" t="n">
        <f aca="false">G23+I23+K23+M23+O23+Q23</f>
        <v>0</v>
      </c>
      <c r="G23" s="325" t="n">
        <v>0</v>
      </c>
      <c r="H23" s="326" t="n">
        <f aca="true">IF($G$1&lt;&gt;1,INDIRECT("period"&amp;$G$1-1&amp;"!G23"),0)</f>
        <v>0</v>
      </c>
      <c r="I23" s="325" t="n">
        <v>0</v>
      </c>
      <c r="J23" s="326" t="n">
        <f aca="true">IF($G$1&lt;&gt;1,INDIRECT("period"&amp;$G$1-1&amp;"!I23"),0)</f>
        <v>0</v>
      </c>
      <c r="K23" s="325" t="n">
        <v>0</v>
      </c>
      <c r="L23" s="326" t="n">
        <f aca="true">IF($G$1&lt;&gt;1,INDIRECT("period"&amp;$G$1-1&amp;"!K23"),0)</f>
        <v>0</v>
      </c>
      <c r="M23" s="325" t="n">
        <v>0</v>
      </c>
      <c r="N23" s="326" t="n">
        <f aca="true">IF($G$1&lt;&gt;1,INDIRECT("period"&amp;$G$1-1&amp;"!M23"),0)</f>
        <v>0</v>
      </c>
      <c r="O23" s="325" t="n">
        <v>0</v>
      </c>
      <c r="P23" s="326" t="n">
        <f aca="true">IF($G$1&lt;&gt;1,INDIRECT("period"&amp;$G$1-1&amp;"!G23"),0)</f>
        <v>0</v>
      </c>
      <c r="Q23" s="325" t="n">
        <v>0</v>
      </c>
      <c r="R23" s="326" t="n">
        <f aca="true">IF($G$1&lt;&gt;1,INDIRECT("period"&amp;$G$1-1&amp;"!Q23"),0)</f>
        <v>0</v>
      </c>
      <c r="S23" s="306"/>
    </row>
    <row r="24" customFormat="false" ht="14.65" hidden="false" customHeight="false" outlineLevel="0" collapsed="false">
      <c r="B24" s="327" t="s">
        <v>184</v>
      </c>
      <c r="C24" s="328" t="n">
        <f aca="false">SUM(C17:C23)</f>
        <v>350</v>
      </c>
      <c r="D24" s="329" t="n">
        <f aca="false">SUM(D17:D23)</f>
        <v>350</v>
      </c>
      <c r="E24" s="330"/>
      <c r="F24" s="330"/>
      <c r="S24" s="331"/>
    </row>
    <row r="25" customFormat="false" ht="14.65" hidden="false" customHeight="false" outlineLevel="0" collapsed="false">
      <c r="B25" s="332"/>
      <c r="C25" s="333"/>
      <c r="D25" s="334"/>
      <c r="E25" s="330"/>
      <c r="F25" s="330"/>
      <c r="H25" s="335"/>
      <c r="I25" s="336"/>
      <c r="J25" s="337" t="s">
        <v>185</v>
      </c>
      <c r="K25" s="336"/>
      <c r="L25" s="336"/>
      <c r="M25" s="338"/>
      <c r="S25" s="331"/>
    </row>
    <row r="26" s="42" customFormat="true" ht="14.65" hidden="false" customHeight="false" outlineLevel="0" collapsed="false">
      <c r="H26" s="339"/>
      <c r="I26" s="340"/>
      <c r="J26" s="341" t="s">
        <v>186</v>
      </c>
      <c r="K26" s="342" t="n">
        <f aca="false">G46</f>
        <v>1972.84459371469</v>
      </c>
      <c r="L26" s="343" t="s">
        <v>174</v>
      </c>
      <c r="M26" s="344"/>
    </row>
    <row r="27" s="42" customFormat="true" ht="14.65" hidden="false" customHeight="false" outlineLevel="0" collapsed="false">
      <c r="H27" s="136"/>
      <c r="I27" s="346"/>
      <c r="J27" s="347" t="s">
        <v>187</v>
      </c>
      <c r="K27" s="348" t="str">
        <f aca="false">"("&amp;G47</f>
        <v>(1800</v>
      </c>
      <c r="L27" s="349" t="s">
        <v>188</v>
      </c>
      <c r="M27" s="350"/>
    </row>
    <row r="28" s="42" customFormat="true" ht="27.25" hidden="false" customHeight="false" outlineLevel="0" collapsed="false">
      <c r="B28" s="208" t="s">
        <v>189</v>
      </c>
      <c r="G28" s="351"/>
      <c r="H28" s="351"/>
      <c r="I28" s="352"/>
      <c r="J28" s="352"/>
      <c r="K28" s="353" t="s">
        <v>190</v>
      </c>
      <c r="L28" s="353"/>
      <c r="M28" s="352"/>
      <c r="N28" s="352"/>
      <c r="O28" s="352"/>
      <c r="P28" s="352"/>
      <c r="Q28" s="354"/>
      <c r="R28" s="354"/>
    </row>
    <row r="29" s="42" customFormat="true" ht="14.65" hidden="false" customHeight="false" outlineLevel="0" collapsed="false">
      <c r="B29" s="42" t="s">
        <v>191</v>
      </c>
      <c r="G29" s="355"/>
      <c r="H29" s="355"/>
      <c r="I29" s="356"/>
      <c r="J29" s="356"/>
      <c r="K29" s="357"/>
      <c r="L29" s="357"/>
      <c r="M29" s="356"/>
      <c r="N29" s="356"/>
      <c r="O29" s="356"/>
      <c r="P29" s="356"/>
      <c r="Q29" s="358"/>
      <c r="R29" s="358"/>
      <c r="T29" s="359"/>
    </row>
    <row r="30" s="42" customFormat="true" ht="23.85" hidden="false" customHeight="false" outlineLevel="0" collapsed="false">
      <c r="G30" s="360" t="s">
        <v>123</v>
      </c>
      <c r="H30" s="361"/>
      <c r="I30" s="362" t="str">
        <f aca="false">I16</f>
        <v>Meadow Hay</v>
      </c>
      <c r="J30" s="363"/>
      <c r="K30" s="364" t="str">
        <f aca="false">K16</f>
        <v>Pasture Silage</v>
      </c>
      <c r="L30" s="365"/>
      <c r="M30" s="362" t="str">
        <f aca="false">M16</f>
        <v>Maize Silage</v>
      </c>
      <c r="N30" s="363"/>
      <c r="O30" s="366" t="str">
        <f aca="false">O16</f>
        <v>Crop</v>
      </c>
      <c r="P30" s="365"/>
      <c r="Q30" s="362" t="str">
        <f aca="false">Q16</f>
        <v>Meal</v>
      </c>
      <c r="R30" s="363"/>
    </row>
    <row r="31" s="42" customFormat="true" ht="14.65" hidden="false" customHeight="false" outlineLevel="0" collapsed="false">
      <c r="E31" s="367" t="str">
        <f aca="false">B17</f>
        <v>Milking Cows Herd A</v>
      </c>
      <c r="F31" s="368"/>
      <c r="G31" s="369" t="n">
        <f aca="false">G17*(1/INDEX('Set up'!$D$45:$O$45,1,$G$1))</f>
        <v>15.5555555555556</v>
      </c>
      <c r="H31" s="370"/>
      <c r="I31" s="371" t="n">
        <f aca="false">I17*100/((VLOOKUP(I$16,'Set up'!$A$50:$B$54,2,0)))</f>
        <v>0</v>
      </c>
      <c r="J31" s="371"/>
      <c r="K31" s="369" t="n">
        <f aca="false">K17*100/((VLOOKUP(K$16,'Set up'!$A$50:$B$54,2,0)))</f>
        <v>2.66666666666667</v>
      </c>
      <c r="L31" s="370"/>
      <c r="M31" s="369" t="n">
        <f aca="false">M17*100/((VLOOKUP(M$16,'Set up'!$A$50:$B$54,2,0)))</f>
        <v>0</v>
      </c>
      <c r="N31" s="370"/>
      <c r="O31" s="369" t="n">
        <f aca="false">O17*100/((VLOOKUP(O$16,'Set up'!$A$50:$B$54,2,0)))</f>
        <v>0</v>
      </c>
      <c r="P31" s="370"/>
      <c r="Q31" s="369" t="n">
        <f aca="false">Q17*100/((VLOOKUP(Q$16,'Set up'!$A$50:$B$54,2,0)))</f>
        <v>0</v>
      </c>
      <c r="R31" s="370"/>
    </row>
    <row r="32" s="42" customFormat="true" ht="14.65" hidden="false" customHeight="false" outlineLevel="0" collapsed="false">
      <c r="E32" s="372" t="str">
        <f aca="false">B18</f>
        <v>Dry Fats</v>
      </c>
      <c r="F32" s="373"/>
      <c r="G32" s="374" t="n">
        <f aca="false">G18*(1/INDEX('Set up'!$D$45:$O$45,1,$G$1))</f>
        <v>0</v>
      </c>
      <c r="H32" s="375"/>
      <c r="I32" s="376" t="n">
        <f aca="false">I18*100/((VLOOKUP(I$16,'Set up'!$A$50:$B$54,2,0)))</f>
        <v>0</v>
      </c>
      <c r="J32" s="376"/>
      <c r="K32" s="377" t="n">
        <f aca="false">K18*100/((VLOOKUP(K$16,'Set up'!$A$50:$B$54,2,0)))</f>
        <v>0</v>
      </c>
      <c r="L32" s="378"/>
      <c r="M32" s="377" t="n">
        <f aca="false">M18*100/((VLOOKUP(M$16,'Set up'!$A$50:$B$54,2,0)))</f>
        <v>0</v>
      </c>
      <c r="N32" s="378"/>
      <c r="O32" s="377" t="n">
        <f aca="false">O18*100/((VLOOKUP(O$16,'Set up'!$A$50:$B$54,2,0)))</f>
        <v>0</v>
      </c>
      <c r="P32" s="378"/>
      <c r="Q32" s="377" t="n">
        <f aca="false">Q18*100/((VLOOKUP(Q$16,'Set up'!$A$50:$B$54,2,0)))</f>
        <v>0</v>
      </c>
      <c r="R32" s="378"/>
    </row>
    <row r="33" s="42" customFormat="true" ht="14.65" hidden="false" customHeight="false" outlineLevel="0" collapsed="false">
      <c r="E33" s="379" t="str">
        <f aca="false">B19</f>
        <v>Dry thins</v>
      </c>
      <c r="F33" s="380"/>
      <c r="G33" s="369" t="n">
        <f aca="false">G19*(1/INDEX('Set up'!$D$45:$O$45,1,$G$1))</f>
        <v>7.77777777777778</v>
      </c>
      <c r="H33" s="370"/>
      <c r="I33" s="371" t="n">
        <f aca="false">I19*100/((VLOOKUP(I$16,'Set up'!$A$50:$B$54,2,0)))</f>
        <v>2.35294117647059</v>
      </c>
      <c r="J33" s="371"/>
      <c r="K33" s="369" t="n">
        <f aca="false">K19*100/((VLOOKUP(K$16,'Set up'!$A$50:$B$54,2,0)))</f>
        <v>0</v>
      </c>
      <c r="L33" s="370"/>
      <c r="M33" s="369" t="n">
        <f aca="false">M19*100/((VLOOKUP(M$16,'Set up'!$A$50:$B$54,2,0)))</f>
        <v>0</v>
      </c>
      <c r="N33" s="370"/>
      <c r="O33" s="369" t="n">
        <f aca="false">O19*100/((VLOOKUP(O$16,'Set up'!$A$50:$B$54,2,0)))</f>
        <v>0</v>
      </c>
      <c r="P33" s="370"/>
      <c r="Q33" s="369" t="n">
        <f aca="false">Q19*100/((VLOOKUP(Q$16,'Set up'!$A$50:$B$54,2,0)))</f>
        <v>0</v>
      </c>
      <c r="R33" s="370"/>
    </row>
    <row r="34" s="42" customFormat="true" ht="14.65" hidden="false" customHeight="false" outlineLevel="0" collapsed="false">
      <c r="E34" s="372" t="str">
        <f aca="false">B20</f>
        <v>R 2yr heifers</v>
      </c>
      <c r="F34" s="373"/>
      <c r="G34" s="374" t="n">
        <f aca="false">G20*(1/INDEX('Set up'!$D$45:$O$45,1,$G$1))</f>
        <v>7.77777777777778</v>
      </c>
      <c r="H34" s="375"/>
      <c r="I34" s="381" t="n">
        <f aca="false">I20*100/((VLOOKUP(I$16,'Set up'!$A$50:$B$54,2,0)))</f>
        <v>0</v>
      </c>
      <c r="J34" s="381"/>
      <c r="K34" s="382" t="n">
        <f aca="false">K20*100/((VLOOKUP(K$16,'Set up'!$A$50:$B$54,2,0)))</f>
        <v>0</v>
      </c>
      <c r="L34" s="383"/>
      <c r="M34" s="382" t="n">
        <f aca="false">M20*100/((VLOOKUP(M$16,'Set up'!$A$50:$B$54,2,0)))</f>
        <v>0</v>
      </c>
      <c r="N34" s="383"/>
      <c r="O34" s="382" t="n">
        <f aca="false">O20*100/((VLOOKUP(O$16,'Set up'!$A$50:$B$54,2,0)))</f>
        <v>0</v>
      </c>
      <c r="P34" s="383"/>
      <c r="Q34" s="382" t="n">
        <f aca="false">Q20*100/((VLOOKUP(Q$16,'Set up'!$A$50:$B$54,2,0)))</f>
        <v>0</v>
      </c>
      <c r="R34" s="383"/>
    </row>
    <row r="35" s="42" customFormat="true" ht="14.65" hidden="false" customHeight="false" outlineLevel="0" collapsed="false">
      <c r="E35" s="367" t="str">
        <f aca="false">B21</f>
        <v>Heifer Calves</v>
      </c>
      <c r="F35" s="368"/>
      <c r="G35" s="369" t="n">
        <f aca="false">G21*(1/INDEX('Set up'!$D$45:$O$45,1,$G$1))</f>
        <v>4.44444444444444</v>
      </c>
      <c r="H35" s="370"/>
      <c r="I35" s="371" t="n">
        <f aca="false">I21*100/((VLOOKUP(I$16,'Set up'!$A$50:$B$54,2,0)))</f>
        <v>0</v>
      </c>
      <c r="J35" s="371"/>
      <c r="K35" s="369" t="n">
        <f aca="false">K21*100/((VLOOKUP(K$16,'Set up'!$A$50:$B$54,2,0)))</f>
        <v>0</v>
      </c>
      <c r="L35" s="370"/>
      <c r="M35" s="369" t="n">
        <f aca="false">M21*100/((VLOOKUP(M$16,'Set up'!$A$50:$B$54,2,0)))</f>
        <v>0</v>
      </c>
      <c r="N35" s="370"/>
      <c r="O35" s="369" t="n">
        <f aca="false">O21*100/((VLOOKUP(O$16,'Set up'!$A$50:$B$54,2,0)))</f>
        <v>0</v>
      </c>
      <c r="P35" s="370"/>
      <c r="Q35" s="369" t="n">
        <f aca="false">Q21*100/((VLOOKUP(Q$16,'Set up'!$A$50:$B$54,2,0)))</f>
        <v>0</v>
      </c>
      <c r="R35" s="370"/>
    </row>
    <row r="36" s="42" customFormat="true" ht="14.65" hidden="false" customHeight="false" outlineLevel="0" collapsed="false">
      <c r="E36" s="372" t="str">
        <f aca="false">B22</f>
        <v>Bulls</v>
      </c>
      <c r="F36" s="373"/>
      <c r="G36" s="374" t="n">
        <f aca="false">G22*(1/INDEX('Set up'!$D$45:$O$45,1,$G$1))</f>
        <v>0</v>
      </c>
      <c r="H36" s="375"/>
      <c r="I36" s="381" t="n">
        <f aca="false">I22*100/((VLOOKUP(I$16,'Set up'!$A$50:$B$54,2,0)))</f>
        <v>0</v>
      </c>
      <c r="J36" s="381"/>
      <c r="K36" s="382" t="n">
        <f aca="false">K22*100/((VLOOKUP(K$16,'Set up'!$A$50:$B$54,2,0)))</f>
        <v>0</v>
      </c>
      <c r="L36" s="383"/>
      <c r="M36" s="382" t="n">
        <f aca="false">M22*100/((VLOOKUP(M$16,'Set up'!$A$50:$B$54,2,0)))</f>
        <v>0</v>
      </c>
      <c r="N36" s="383"/>
      <c r="O36" s="382" t="n">
        <f aca="false">O22*100/((VLOOKUP(O$16,'Set up'!$A$50:$B$54,2,0)))</f>
        <v>0</v>
      </c>
      <c r="P36" s="383"/>
      <c r="Q36" s="382" t="n">
        <f aca="false">Q22*100/((VLOOKUP(Q$16,'Set up'!$A$50:$B$54,2,0)))</f>
        <v>0</v>
      </c>
      <c r="R36" s="383"/>
    </row>
    <row r="37" s="42" customFormat="true" ht="14.65" hidden="false" customHeight="false" outlineLevel="0" collapsed="false">
      <c r="E37" s="379" t="str">
        <f aca="false">B23</f>
        <v>Bull Calves</v>
      </c>
      <c r="F37" s="380"/>
      <c r="G37" s="369" t="n">
        <f aca="false">G23*(1/INDEX('Set up'!$D$45:$O$45,1,$G$1))</f>
        <v>0</v>
      </c>
      <c r="H37" s="370"/>
      <c r="I37" s="371" t="n">
        <f aca="false">I23*100/((VLOOKUP(I$16,'Set up'!$A$50:$B$54,2,0)))</f>
        <v>0</v>
      </c>
      <c r="J37" s="371"/>
      <c r="K37" s="369" t="n">
        <f aca="false">K23*100/((VLOOKUP(K$16,'Set up'!$A$50:$B$54,2,0)))</f>
        <v>0</v>
      </c>
      <c r="L37" s="370"/>
      <c r="M37" s="369" t="n">
        <f aca="false">M23*100/((VLOOKUP(M$16,'Set up'!$A$50:$B$54,2,0)))</f>
        <v>0</v>
      </c>
      <c r="N37" s="370"/>
      <c r="O37" s="369" t="n">
        <f aca="false">O23*100/((VLOOKUP(O$16,'Set up'!$A$50:$B$54,2,0)))</f>
        <v>0</v>
      </c>
      <c r="P37" s="370"/>
      <c r="Q37" s="369" t="n">
        <f aca="false">Q23*100/((VLOOKUP(Q$16,'Set up'!$A$50:$B$54,2,0)))</f>
        <v>0</v>
      </c>
      <c r="R37" s="370"/>
    </row>
    <row r="38" s="105" customFormat="true" ht="14.95" hidden="false" customHeight="false" outlineLevel="0" collapsed="false">
      <c r="B38" s="384"/>
      <c r="C38" s="385"/>
      <c r="D38" s="386"/>
      <c r="E38" s="386"/>
      <c r="F38" s="387" t="s">
        <v>192</v>
      </c>
      <c r="G38" s="388" t="n">
        <f aca="false">(($G17*$D17)+($G18*$D18)+($G19*$D19)+($G20*$D20)+($G21*$D21)+($G22*$D22)+($G23*$D23))*(1/INDEX('Set up'!$D45:$O45,1,$G$1))</f>
        <v>3722.22222222222</v>
      </c>
      <c r="H38" s="388"/>
      <c r="I38" s="389" t="n">
        <f aca="false">((I17*$D17)+(I18*$D18)+(I19*$D19)+(I20*$D20)+(I21*$D21)+(I22*$D22)+(I23*$D23))*(100/VLOOKUP($F6,'Set up'!$A$50:$C$54,2,0))</f>
        <v>235.294117647059</v>
      </c>
      <c r="J38" s="390"/>
      <c r="K38" s="389" t="n">
        <f aca="false">((K17*$D17)+(K18*$D18)+(K19*$D19)+(K20*$D20)+(K21*$D21)+(K22*$D22)+(K23*$D23))*(100/VLOOKUP($F7,'Set up'!$A$50:$C$54,2,0))</f>
        <v>400</v>
      </c>
      <c r="L38" s="390"/>
      <c r="M38" s="389" t="n">
        <f aca="false">((M17*$D17)+(M18*$D18)+(M19*$D19)+(M20*$D20)+(M21*$D21)+(M22*$D22)+(M23*$D23))*(100/VLOOKUP($F8,'Set up'!$A$50:$C$54,2,0))</f>
        <v>0</v>
      </c>
      <c r="N38" s="390"/>
      <c r="O38" s="389" t="n">
        <f aca="false">((O17*$D17)+(O18*$D18)+(O19*$D19)+(O20*$D20)+(O21*$D21)+(O22*$D22)+(O23*$D23))*(100/VLOOKUP($F9,'Set up'!$A$50:$C$54,2,0))</f>
        <v>0</v>
      </c>
      <c r="P38" s="390"/>
      <c r="Q38" s="389" t="n">
        <f aca="false">((Q17*$D17)+(Q18*$D18)+(Q19*$D19)+(Q20*$D20)+(Q21*$D21)+(Q22*$D22)+(Q23*$D23))*(100/VLOOKUP($F10,'Set up'!$A$50:$C$54,2,0))</f>
        <v>0</v>
      </c>
      <c r="R38" s="390"/>
      <c r="S38" s="331"/>
    </row>
    <row r="39" s="42" customFormat="true" ht="14.95" hidden="false" customHeight="false" outlineLevel="0" collapsed="false">
      <c r="B39" s="391"/>
      <c r="C39" s="392"/>
      <c r="D39" s="392"/>
      <c r="E39" s="392"/>
      <c r="F39" s="393" t="s">
        <v>193</v>
      </c>
      <c r="G39" s="394" t="n">
        <f aca="false">G38*$C$5</f>
        <v>115388.888888889</v>
      </c>
      <c r="H39" s="394"/>
      <c r="I39" s="395" t="n">
        <f aca="false">I38*$C$5</f>
        <v>7294.11764705882</v>
      </c>
      <c r="J39" s="396"/>
      <c r="K39" s="395" t="n">
        <f aca="false">K38*$C$5</f>
        <v>12400</v>
      </c>
      <c r="L39" s="396"/>
      <c r="M39" s="395" t="n">
        <f aca="false">M38*$C$5</f>
        <v>0</v>
      </c>
      <c r="N39" s="396"/>
      <c r="O39" s="395" t="n">
        <f aca="false">O38*$C$5</f>
        <v>0</v>
      </c>
      <c r="P39" s="396"/>
      <c r="Q39" s="395" t="n">
        <f aca="false">Q38*$C$5</f>
        <v>0</v>
      </c>
      <c r="R39" s="396"/>
    </row>
    <row r="40" s="42" customFormat="true" ht="14.95" hidden="false" customHeight="false" outlineLevel="0" collapsed="false">
      <c r="B40" s="42" t="s">
        <v>194</v>
      </c>
    </row>
    <row r="41" s="42" customFormat="true" ht="14.75" hidden="false" customHeight="true" outlineLevel="0" collapsed="false"/>
    <row r="42" customFormat="false" ht="14.75" hidden="false" customHeight="true" outlineLevel="0" collapsed="false">
      <c r="Q42" s="52"/>
      <c r="R42" s="52"/>
      <c r="S42" s="44"/>
    </row>
    <row r="43" s="42" customFormat="true" ht="32" hidden="false" customHeight="true" outlineLevel="0" collapsed="false">
      <c r="B43" s="208" t="s">
        <v>195</v>
      </c>
    </row>
    <row r="44" s="42" customFormat="true" ht="32" hidden="false" customHeight="true" outlineLevel="0" collapsed="false">
      <c r="B44" s="208"/>
    </row>
    <row r="45" s="42" customFormat="true" ht="14.65" hidden="false" customHeight="false" outlineLevel="0" collapsed="false">
      <c r="B45" s="44"/>
      <c r="C45" s="237"/>
      <c r="D45" s="397"/>
      <c r="E45" s="397"/>
      <c r="F45" s="398" t="s">
        <v>196</v>
      </c>
      <c r="G45" s="399" t="n">
        <f aca="true">IF(G1=1,'Set up'!$D$35,INDIRECT("period"&amp;$G$1-1&amp;"!G46"))</f>
        <v>2196.73348260358</v>
      </c>
      <c r="H45" s="400" t="s">
        <v>197</v>
      </c>
      <c r="I45" s="401"/>
      <c r="J45" s="402"/>
      <c r="K45" s="213" t="str">
        <f aca="false">IF(G1=1,"*NB: For Period1, enter the opening  Av Farm Cover in cell D37 in 'Set up'","NB: Opening av farm cover is the previous period's forecasted closing av farm cover")</f>
        <v>NB: Opening av farm cover is the previous period's forecasted closing av farm cover</v>
      </c>
      <c r="P45" s="44"/>
      <c r="V45" s="345"/>
      <c r="W45" s="2"/>
    </row>
    <row r="46" s="42" customFormat="true" ht="14.65" hidden="false" customHeight="false" outlineLevel="0" collapsed="false">
      <c r="B46" s="44"/>
      <c r="C46" s="403"/>
      <c r="D46" s="404"/>
      <c r="E46" s="404"/>
      <c r="F46" s="405" t="s">
        <v>198</v>
      </c>
      <c r="G46" s="406" t="n">
        <f aca="false">($G$45+ ($C$5*$C$12) -(G39/C11))</f>
        <v>1972.84459371469</v>
      </c>
      <c r="H46" s="407" t="s">
        <v>197</v>
      </c>
      <c r="I46" s="408"/>
      <c r="J46" s="409"/>
      <c r="K46" s="410"/>
      <c r="P46" s="44"/>
    </row>
    <row r="47" s="42" customFormat="true" ht="14.65" hidden="false" customHeight="false" outlineLevel="0" collapsed="false">
      <c r="B47" s="44"/>
      <c r="C47" s="411"/>
      <c r="D47" s="412"/>
      <c r="E47" s="412"/>
      <c r="F47" s="413" t="s">
        <v>199</v>
      </c>
      <c r="G47" s="429" t="n">
        <f aca="false">INDEX('Set up'!$D37:$O37,1,G1)</f>
        <v>1800</v>
      </c>
      <c r="H47" s="415" t="s">
        <v>197</v>
      </c>
      <c r="I47" s="416"/>
      <c r="J47" s="417"/>
      <c r="K47" s="410"/>
      <c r="P47" s="331"/>
      <c r="V47" s="345"/>
    </row>
    <row r="48" s="42" customFormat="true" ht="14.65" hidden="false" customHeight="false" outlineLevel="0" collapsed="false">
      <c r="B48" s="44"/>
      <c r="C48" s="247"/>
      <c r="D48" s="418"/>
      <c r="E48" s="418"/>
      <c r="F48" s="419" t="s">
        <v>200</v>
      </c>
      <c r="G48" s="420" t="n">
        <f aca="false">G46-G47</f>
        <v>172.844593714686</v>
      </c>
      <c r="H48" s="407" t="s">
        <v>197</v>
      </c>
      <c r="I48" s="408"/>
      <c r="J48" s="421"/>
      <c r="K48" s="422" t="s">
        <v>201</v>
      </c>
      <c r="P48" s="331"/>
    </row>
    <row r="49" s="42" customFormat="true" ht="14.65" hidden="false" customHeight="false" outlineLevel="0" collapsed="false">
      <c r="B49" s="44"/>
      <c r="C49" s="269"/>
      <c r="D49" s="423"/>
      <c r="E49" s="423"/>
      <c r="F49" s="424" t="s">
        <v>202</v>
      </c>
      <c r="G49" s="425" t="n">
        <f aca="false">G48*C11</f>
        <v>17284.4593714686</v>
      </c>
      <c r="H49" s="426" t="str">
        <f aca="false">"kg DM total over  nett "&amp;C11&amp;" ha"</f>
        <v>kg DM total over  nett 100 ha</v>
      </c>
      <c r="I49" s="427"/>
      <c r="J49" s="428"/>
      <c r="K49" s="410"/>
      <c r="P49" s="331"/>
      <c r="Q49" s="42" t="str">
        <f aca="false">CONCATENATE(Q43,S43)</f>
        <v/>
      </c>
    </row>
  </sheetData>
  <sheetProtection sheet="true" objects="true" scenarios="true" selectLockedCells="true"/>
  <mergeCells count="1">
    <mergeCell ref="Y15:AD15"/>
  </mergeCells>
  <dataValidations count="4">
    <dataValidation allowBlank="false" operator="equal" showDropDown="false" showErrorMessage="false" showInputMessage="false" sqref="F6 F8:F10" type="list">
      <formula1>'Set up'!$A$50:$A$54</formula1>
      <formula2>0</formula2>
    </dataValidation>
    <dataValidation allowBlank="false" operator="equal" showDropDown="false" showErrorMessage="false" showInputMessage="false" sqref="F7" type="list">
      <formula1>'Set up'!$A$50:$A$54</formula1>
      <formula2>0</formula2>
    </dataValidation>
    <dataValidation allowBlank="true" operator="equal" showDropDown="false" showErrorMessage="false" showInputMessage="false" sqref="B17" type="list">
      <formula1>'Set up'!$B$62:$B$90</formula1>
      <formula2>0</formula2>
    </dataValidation>
    <dataValidation allowBlank="true" operator="equal" showDropDown="false" showErrorMessage="false" showInputMessage="false" sqref="B18:B23" type="list">
      <formula1>'Set up'!$B$62:$B$89</formula1>
      <formula2>0</formula2>
    </dataValidation>
  </dataValidation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&amp;C&amp;"Arial,Regular"&amp;A</oddHeader>
    <oddFooter>&amp;C&amp;"Arial,Regular"Page &amp;P</oddFooter>
  </headerFooter>
  <drawing r:id="rId2"/>
  <legacyDrawing r:id="rId3"/>
</worksheet>
</file>

<file path=xl/worksheets/sheet2.xml><?xml version="1.0" encoding="utf-8"?>
<worksheet xmlns="http://schemas.openxmlformats.org/spreadsheetml/2006/main" xmlns:r="http://schemas.openxmlformats.org/officeDocument/2006/relationships">
  <sheetPr filterMode="false">
    <pageSetUpPr fitToPage="false"/>
  </sheetPr>
  <dimension ref="A2:G17"/>
  <sheetViews>
    <sheetView showFormulas="false" showGridLines="true" showRowColHeaders="true" showZeros="true" rightToLeft="false" tabSelected="false" showOutlineSymbols="true" defaultGridColor="true" view="normal" topLeftCell="J1" colorId="64" zoomScale="110" zoomScaleNormal="110" zoomScalePageLayoutView="100" workbookViewId="0">
      <selection pane="topLeft" activeCell="K37" activeCellId="0" sqref="K37"/>
    </sheetView>
  </sheetViews>
  <sheetFormatPr defaultRowHeight="12.75" zeroHeight="false" outlineLevelRow="0" outlineLevelCol="0"/>
  <cols>
    <col collapsed="false" customWidth="true" hidden="false" outlineLevel="0" max="1" min="1" style="26" width="5.22"/>
    <col collapsed="false" customWidth="true" hidden="false" outlineLevel="0" max="2" min="2" style="26" width="6.36"/>
    <col collapsed="false" customWidth="true" hidden="false" outlineLevel="0" max="3" min="3" style="26" width="5.55"/>
    <col collapsed="false" customWidth="true" hidden="false" outlineLevel="0" max="4" min="4" style="26" width="15.51"/>
    <col collapsed="false" customWidth="true" hidden="false" outlineLevel="0" max="257" min="5" style="26" width="10.45"/>
    <col collapsed="false" customWidth="true" hidden="false" outlineLevel="0" max="1025" min="258" style="0" width="10.45"/>
  </cols>
  <sheetData>
    <row r="2" customFormat="false" ht="6.8" hidden="false" customHeight="true" outlineLevel="0" collapsed="false">
      <c r="B2" s="27" t="s">
        <v>2</v>
      </c>
      <c r="E2" s="28"/>
    </row>
    <row r="3" customFormat="false" ht="69.7" hidden="false" customHeight="true" outlineLevel="0" collapsed="false">
      <c r="A3" s="29"/>
      <c r="D3" s="30" t="s">
        <v>71</v>
      </c>
      <c r="E3" s="31" t="s">
        <v>72</v>
      </c>
      <c r="F3" s="32" t="s">
        <v>73</v>
      </c>
    </row>
    <row r="4" customFormat="false" ht="14.65" hidden="false" customHeight="false" outlineLevel="0" collapsed="false">
      <c r="A4" s="33"/>
      <c r="C4" s="26" t="n">
        <v>1</v>
      </c>
      <c r="D4" s="34" t="n">
        <f aca="false">'Set up'!D16</f>
        <v>43221</v>
      </c>
      <c r="E4" s="35" t="n">
        <f aca="false">'Set up'!D$37</f>
        <v>2000</v>
      </c>
      <c r="F4" s="36" t="n">
        <f aca="true">INDIRECT("Period"&amp;$C4&amp;"!$G46")</f>
        <v>2390</v>
      </c>
      <c r="G4" s="0"/>
    </row>
    <row r="5" customFormat="false" ht="14.65" hidden="false" customHeight="false" outlineLevel="0" collapsed="false">
      <c r="A5" s="37"/>
      <c r="C5" s="26" t="n">
        <v>2</v>
      </c>
      <c r="D5" s="34" t="n">
        <f aca="false">'Set up'!E16</f>
        <v>43252</v>
      </c>
      <c r="E5" s="35" t="n">
        <f aca="false">'Set up'!E$37</f>
        <v>2200</v>
      </c>
      <c r="F5" s="36" t="n">
        <f aca="true">INDIRECT("Period"&amp;$C5&amp;"!$G46")</f>
        <v>2680.42105263158</v>
      </c>
      <c r="G5" s="0"/>
    </row>
    <row r="6" customFormat="false" ht="14.65" hidden="false" customHeight="false" outlineLevel="0" collapsed="false">
      <c r="A6" s="37"/>
      <c r="C6" s="26" t="n">
        <v>3</v>
      </c>
      <c r="D6" s="34" t="n">
        <f aca="false">'Set up'!F16</f>
        <v>43282</v>
      </c>
      <c r="E6" s="35" t="n">
        <f aca="false">'Set up'!F$37</f>
        <v>2300</v>
      </c>
      <c r="F6" s="36" t="n">
        <f aca="true">INDIRECT("Period"&amp;$C6&amp;"!$G46")</f>
        <v>2563.75438596491</v>
      </c>
      <c r="G6" s="0"/>
    </row>
    <row r="7" customFormat="false" ht="14.65" hidden="false" customHeight="false" outlineLevel="0" collapsed="false">
      <c r="A7" s="37"/>
      <c r="C7" s="38" t="n">
        <v>4</v>
      </c>
      <c r="D7" s="34" t="n">
        <f aca="false">'Set up'!G16</f>
        <v>43313</v>
      </c>
      <c r="E7" s="35" t="n">
        <f aca="false">'Set up'!G$37</f>
        <v>2500</v>
      </c>
      <c r="F7" s="36" t="n">
        <f aca="true">INDIRECT("Period"&amp;$C7&amp;"!$G46")</f>
        <v>2237.22105263158</v>
      </c>
      <c r="G7" s="0"/>
    </row>
    <row r="8" customFormat="false" ht="14.65" hidden="false" customHeight="false" outlineLevel="0" collapsed="false">
      <c r="A8" s="37"/>
      <c r="C8" s="38" t="n">
        <v>5</v>
      </c>
      <c r="D8" s="34" t="n">
        <f aca="false">'Set up'!H$16</f>
        <v>43344</v>
      </c>
      <c r="E8" s="35" t="n">
        <f aca="false">'Set up'!H$37</f>
        <v>2000</v>
      </c>
      <c r="F8" s="36" t="n">
        <f aca="true">INDIRECT("Period"&amp;$C8&amp;"!$G46")</f>
        <v>2053.15855263158</v>
      </c>
      <c r="G8" s="0"/>
    </row>
    <row r="9" customFormat="false" ht="14.65" hidden="false" customHeight="false" outlineLevel="0" collapsed="false">
      <c r="A9" s="37"/>
      <c r="C9" s="38" t="n">
        <v>6</v>
      </c>
      <c r="D9" s="34" t="n">
        <f aca="false">'Set up'!I$16</f>
        <v>43374</v>
      </c>
      <c r="E9" s="35" t="n">
        <f aca="false">'Set up'!I$37</f>
        <v>1800</v>
      </c>
      <c r="F9" s="36" t="n">
        <f aca="true">INDIRECT("Period"&amp;$C9&amp;"!$G46")</f>
        <v>2304.13894478845</v>
      </c>
      <c r="G9" s="0"/>
    </row>
    <row r="10" customFormat="false" ht="14.65" hidden="false" customHeight="false" outlineLevel="0" collapsed="false">
      <c r="A10" s="37"/>
      <c r="C10" s="38" t="n">
        <v>7</v>
      </c>
      <c r="D10" s="34" t="n">
        <f aca="false">'Set up'!J$16</f>
        <v>43405</v>
      </c>
      <c r="E10" s="35" t="n">
        <f aca="false">'Set up'!J$37</f>
        <v>2200</v>
      </c>
      <c r="F10" s="36" t="n">
        <f aca="true">INDIRECT("Period"&amp;$C10&amp;"!$G46")</f>
        <v>2522.96247420022</v>
      </c>
      <c r="G10" s="0"/>
    </row>
    <row r="11" customFormat="false" ht="14.65" hidden="false" customHeight="false" outlineLevel="0" collapsed="false">
      <c r="A11" s="37"/>
      <c r="C11" s="38" t="n">
        <v>8</v>
      </c>
      <c r="D11" s="34" t="n">
        <f aca="false">'Set up'!K$16</f>
        <v>43435</v>
      </c>
      <c r="E11" s="35" t="n">
        <f aca="false">'Set up'!K$37</f>
        <v>2500</v>
      </c>
      <c r="F11" s="36" t="n">
        <f aca="true">INDIRECT("Period"&amp;$C11&amp;"!$G46")</f>
        <v>2968.55070949433</v>
      </c>
      <c r="G11" s="0"/>
    </row>
    <row r="12" customFormat="false" ht="14.65" hidden="false" customHeight="false" outlineLevel="0" collapsed="false">
      <c r="A12" s="37"/>
      <c r="C12" s="38" t="n">
        <v>9</v>
      </c>
      <c r="D12" s="34" t="n">
        <f aca="false">'Set up'!L$16</f>
        <v>43466</v>
      </c>
      <c r="E12" s="35" t="n">
        <f aca="false">'Set up'!L$37</f>
        <v>2400</v>
      </c>
      <c r="F12" s="36" t="n">
        <f aca="true">INDIRECT("Period"&amp;$C12&amp;"!$G46")</f>
        <v>3129.08642378004</v>
      </c>
      <c r="G12" s="0"/>
    </row>
    <row r="13" customFormat="false" ht="14.65" hidden="false" customHeight="false" outlineLevel="0" collapsed="false">
      <c r="A13" s="39"/>
      <c r="C13" s="38" t="n">
        <v>10</v>
      </c>
      <c r="D13" s="34" t="n">
        <f aca="false">'Set up'!M$16</f>
        <v>43497</v>
      </c>
      <c r="E13" s="35" t="n">
        <f aca="false">'Set up'!M$37</f>
        <v>2000</v>
      </c>
      <c r="F13" s="36" t="n">
        <f aca="true">INDIRECT("Period"&amp;$C13&amp;"!$G46")</f>
        <v>2855.55701201534</v>
      </c>
      <c r="G13" s="0"/>
    </row>
    <row r="14" customFormat="false" ht="14.65" hidden="false" customHeight="false" outlineLevel="0" collapsed="false">
      <c r="A14" s="37"/>
      <c r="C14" s="38" t="n">
        <v>11</v>
      </c>
      <c r="D14" s="34" t="n">
        <f aca="false">'Set up'!N$16</f>
        <v>43525</v>
      </c>
      <c r="E14" s="35" t="n">
        <f aca="false">'Set up'!N$37</f>
        <v>2000</v>
      </c>
      <c r="F14" s="36" t="n">
        <f aca="true">INDIRECT("Period"&amp;$C14&amp;"!$G46")</f>
        <v>2196.73348260358</v>
      </c>
      <c r="G14" s="0"/>
    </row>
    <row r="15" customFormat="false" ht="14.65" hidden="false" customHeight="false" outlineLevel="0" collapsed="false">
      <c r="A15" s="37"/>
      <c r="C15" s="38" t="n">
        <v>12</v>
      </c>
      <c r="D15" s="34" t="n">
        <f aca="false">'Set up'!O$16</f>
        <v>43556</v>
      </c>
      <c r="E15" s="35" t="n">
        <f aca="false">'Set up'!O$37</f>
        <v>1800</v>
      </c>
      <c r="F15" s="36" t="n">
        <f aca="true">INDIRECT("Period"&amp;$C15&amp;"!$G46")</f>
        <v>1972.84459371469</v>
      </c>
      <c r="G15" s="0"/>
    </row>
    <row r="16" customFormat="false" ht="14.65" hidden="false" customHeight="false" outlineLevel="0" collapsed="false">
      <c r="A16" s="37"/>
      <c r="D16" s="40"/>
    </row>
    <row r="17" customFormat="false" ht="12.75" hidden="false" customHeight="false" outlineLevel="0" collapsed="false">
      <c r="A17" s="41"/>
    </row>
  </sheetData>
  <sheetProtection sheet="true" objects="true" scenarios="true" selectLockedCells="true"/>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P1048576"/>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D45" activeCellId="0" sqref="D45"/>
    </sheetView>
  </sheetViews>
  <sheetFormatPr defaultRowHeight="14.65" zeroHeight="false" outlineLevelRow="0" outlineLevelCol="0"/>
  <cols>
    <col collapsed="false" customWidth="true" hidden="false" outlineLevel="0" max="1" min="1" style="42" width="13.93"/>
    <col collapsed="false" customWidth="true" hidden="false" outlineLevel="0" max="2" min="2" style="42" width="24.26"/>
    <col collapsed="false" customWidth="true" hidden="false" outlineLevel="0" max="1025" min="3" style="42" width="13.38"/>
  </cols>
  <sheetData>
    <row r="1" customFormat="false" ht="33.5" hidden="false" customHeight="false" outlineLevel="0" collapsed="false">
      <c r="F1" s="43" t="s">
        <v>74</v>
      </c>
      <c r="H1" s="44"/>
      <c r="I1" s="45"/>
      <c r="J1" s="46"/>
      <c r="K1" s="47"/>
    </row>
    <row r="2" customFormat="false" ht="20.55" hidden="false" customHeight="false" outlineLevel="0" collapsed="false">
      <c r="B2" s="48" t="s">
        <v>2</v>
      </c>
      <c r="C2" s="49"/>
      <c r="D2" s="50"/>
      <c r="E2" s="0"/>
      <c r="F2" s="51" t="s">
        <v>75</v>
      </c>
      <c r="G2" s="52"/>
      <c r="H2" s="53"/>
      <c r="I2" s="53"/>
      <c r="J2" s="53"/>
      <c r="K2" s="53"/>
      <c r="L2" s="52"/>
      <c r="M2" s="52"/>
      <c r="N2" s="52"/>
      <c r="O2" s="52"/>
    </row>
    <row r="3" customFormat="false" ht="21.8" hidden="false" customHeight="true" outlineLevel="0" collapsed="false">
      <c r="B3" s="54" t="s">
        <v>76</v>
      </c>
      <c r="C3" s="52"/>
      <c r="D3" s="52"/>
      <c r="E3" s="52"/>
      <c r="F3" s="55" t="s">
        <v>77</v>
      </c>
      <c r="G3" s="52"/>
      <c r="H3" s="47"/>
      <c r="I3" s="56"/>
      <c r="J3" s="56"/>
      <c r="K3" s="56"/>
      <c r="L3" s="52"/>
      <c r="M3" s="52"/>
      <c r="N3" s="52"/>
      <c r="O3" s="52"/>
    </row>
    <row r="4" customFormat="false" ht="14.1" hidden="false" customHeight="true" outlineLevel="0" collapsed="false">
      <c r="B4" s="50" t="s">
        <v>78</v>
      </c>
      <c r="C4" s="50"/>
      <c r="D4" s="57" t="s">
        <v>79</v>
      </c>
      <c r="E4" s="50"/>
      <c r="F4" s="58" t="s">
        <v>80</v>
      </c>
      <c r="G4" s="59"/>
      <c r="H4" s="59"/>
      <c r="I4" s="59"/>
      <c r="J4" s="60"/>
      <c r="K4" s="60"/>
      <c r="L4" s="60"/>
      <c r="M4" s="60"/>
      <c r="N4" s="60"/>
      <c r="O4" s="61"/>
    </row>
    <row r="5" customFormat="false" ht="14.1" hidden="false" customHeight="true" outlineLevel="0" collapsed="false">
      <c r="B5" s="50"/>
      <c r="C5" s="50"/>
      <c r="D5" s="50"/>
      <c r="E5" s="50"/>
      <c r="F5" s="62"/>
      <c r="G5" s="60"/>
      <c r="H5" s="60"/>
      <c r="I5" s="60"/>
      <c r="J5" s="60"/>
      <c r="K5" s="60"/>
      <c r="L5" s="60"/>
      <c r="M5" s="60"/>
      <c r="N5" s="60"/>
      <c r="O5" s="61"/>
    </row>
    <row r="6" customFormat="false" ht="14.1" hidden="false" customHeight="true" outlineLevel="0" collapsed="false">
      <c r="B6" s="63" t="s">
        <v>81</v>
      </c>
      <c r="C6" s="63"/>
      <c r="D6" s="64"/>
      <c r="E6" s="50"/>
      <c r="F6" s="62"/>
      <c r="G6" s="60"/>
      <c r="H6" s="60"/>
      <c r="I6" s="60"/>
      <c r="J6" s="60"/>
      <c r="K6" s="60"/>
      <c r="L6" s="60"/>
      <c r="M6" s="60"/>
      <c r="N6" s="60"/>
      <c r="O6" s="61"/>
    </row>
    <row r="7" customFormat="false" ht="14.1" hidden="false" customHeight="true" outlineLevel="0" collapsed="false">
      <c r="B7" s="50" t="s">
        <v>82</v>
      </c>
      <c r="C7" s="50"/>
      <c r="D7" s="57" t="n">
        <v>100</v>
      </c>
      <c r="E7" s="50" t="s">
        <v>83</v>
      </c>
      <c r="F7" s="65" t="s">
        <v>84</v>
      </c>
      <c r="G7" s="66"/>
      <c r="H7" s="66"/>
      <c r="I7" s="66"/>
      <c r="J7" s="66"/>
      <c r="K7" s="66"/>
      <c r="L7" s="66"/>
      <c r="M7" s="66"/>
      <c r="N7" s="60"/>
      <c r="O7" s="61"/>
    </row>
    <row r="8" customFormat="false" ht="14.1" hidden="false" customHeight="true" outlineLevel="0" collapsed="false">
      <c r="B8" s="50"/>
      <c r="C8" s="50"/>
      <c r="D8" s="67"/>
      <c r="E8" s="50"/>
      <c r="F8" s="68"/>
      <c r="G8" s="69"/>
      <c r="H8" s="69"/>
      <c r="I8" s="69"/>
      <c r="J8" s="69"/>
      <c r="K8" s="69"/>
      <c r="L8" s="69"/>
      <c r="M8" s="69"/>
      <c r="N8" s="60"/>
      <c r="O8" s="61"/>
    </row>
    <row r="9" customFormat="false" ht="14.1" hidden="false" customHeight="true" outlineLevel="0" collapsed="false">
      <c r="D9" s="70"/>
      <c r="E9" s="52"/>
      <c r="F9" s="71" t="s">
        <v>85</v>
      </c>
      <c r="G9" s="72"/>
      <c r="H9" s="72"/>
      <c r="I9" s="72"/>
      <c r="J9" s="72"/>
      <c r="K9" s="72"/>
      <c r="L9" s="72"/>
      <c r="M9" s="72"/>
      <c r="N9" s="72"/>
      <c r="O9" s="73"/>
    </row>
    <row r="10" customFormat="false" ht="14.1" hidden="false" customHeight="true" outlineLevel="0" collapsed="false">
      <c r="B10" s="2"/>
      <c r="C10" s="74"/>
      <c r="D10" s="70"/>
      <c r="E10" s="52"/>
      <c r="F10" s="75" t="s">
        <v>86</v>
      </c>
      <c r="G10" s="76"/>
      <c r="H10" s="76"/>
      <c r="I10" s="76"/>
      <c r="J10" s="76"/>
      <c r="K10" s="76"/>
      <c r="L10" s="76"/>
      <c r="M10" s="76"/>
      <c r="N10" s="76"/>
      <c r="O10" s="77"/>
    </row>
    <row r="11" customFormat="false" ht="29.2" hidden="false" customHeight="true" outlineLevel="0" collapsed="false">
      <c r="B11" s="54" t="s">
        <v>87</v>
      </c>
      <c r="C11" s="74"/>
      <c r="D11" s="70"/>
      <c r="E11" s="52"/>
      <c r="F11" s="78" t="s">
        <v>88</v>
      </c>
      <c r="G11" s="79"/>
      <c r="H11" s="79"/>
      <c r="I11" s="79"/>
      <c r="J11" s="79"/>
      <c r="K11" s="79"/>
      <c r="L11" s="79"/>
      <c r="M11" s="79"/>
      <c r="N11" s="79"/>
      <c r="O11" s="80"/>
    </row>
    <row r="12" customFormat="false" ht="14.1" hidden="false" customHeight="true" outlineLevel="0" collapsed="false">
      <c r="B12" s="52"/>
      <c r="C12" s="52"/>
      <c r="D12" s="81" t="n">
        <v>1</v>
      </c>
      <c r="E12" s="82" t="n">
        <v>2</v>
      </c>
      <c r="F12" s="83" t="n">
        <v>3</v>
      </c>
      <c r="G12" s="84" t="n">
        <v>4</v>
      </c>
      <c r="H12" s="84" t="n">
        <v>5</v>
      </c>
      <c r="I12" s="84" t="n">
        <v>6</v>
      </c>
      <c r="J12" s="84" t="n">
        <v>7</v>
      </c>
      <c r="K12" s="84" t="n">
        <v>8</v>
      </c>
      <c r="L12" s="84" t="n">
        <v>9</v>
      </c>
      <c r="M12" s="84" t="n">
        <v>10</v>
      </c>
      <c r="N12" s="85" t="n">
        <v>11</v>
      </c>
      <c r="O12" s="85" t="n">
        <v>12</v>
      </c>
    </row>
    <row r="13" customFormat="false" ht="14.1" hidden="false" customHeight="true" outlineLevel="0" collapsed="false">
      <c r="B13" s="52"/>
      <c r="C13" s="52"/>
      <c r="D13" s="86" t="s">
        <v>89</v>
      </c>
      <c r="E13" s="87" t="s">
        <v>90</v>
      </c>
      <c r="F13" s="88" t="s">
        <v>91</v>
      </c>
      <c r="G13" s="89" t="s">
        <v>92</v>
      </c>
      <c r="H13" s="88" t="s">
        <v>93</v>
      </c>
      <c r="I13" s="89" t="s">
        <v>94</v>
      </c>
      <c r="J13" s="88" t="s">
        <v>95</v>
      </c>
      <c r="K13" s="89" t="s">
        <v>96</v>
      </c>
      <c r="L13" s="88" t="s">
        <v>97</v>
      </c>
      <c r="M13" s="89" t="s">
        <v>98</v>
      </c>
      <c r="N13" s="88" t="s">
        <v>99</v>
      </c>
      <c r="O13" s="87" t="s">
        <v>100</v>
      </c>
    </row>
    <row r="14" customFormat="false" ht="14.1" hidden="false" customHeight="true" outlineLevel="0" collapsed="false">
      <c r="B14" s="90"/>
      <c r="C14" s="91" t="s">
        <v>101</v>
      </c>
      <c r="D14" s="92" t="n">
        <v>43191</v>
      </c>
      <c r="E14" s="93" t="n">
        <f aca="false">D16</f>
        <v>43221</v>
      </c>
      <c r="F14" s="94" t="n">
        <f aca="false">E16</f>
        <v>43252</v>
      </c>
      <c r="G14" s="93" t="n">
        <f aca="false">F16</f>
        <v>43282</v>
      </c>
      <c r="H14" s="94" t="n">
        <f aca="false">G16</f>
        <v>43313</v>
      </c>
      <c r="I14" s="93" t="n">
        <f aca="false">H16</f>
        <v>43344</v>
      </c>
      <c r="J14" s="94" t="n">
        <f aca="false">I16</f>
        <v>43374</v>
      </c>
      <c r="K14" s="93" t="n">
        <f aca="false">J16</f>
        <v>43405</v>
      </c>
      <c r="L14" s="94" t="n">
        <f aca="false">K16</f>
        <v>43435</v>
      </c>
      <c r="M14" s="93" t="n">
        <f aca="false">L16</f>
        <v>43466</v>
      </c>
      <c r="N14" s="94" t="n">
        <f aca="false">M16</f>
        <v>43497</v>
      </c>
      <c r="O14" s="93" t="n">
        <f aca="false">N16</f>
        <v>43525</v>
      </c>
    </row>
    <row r="15" customFormat="false" ht="14.1" hidden="false" customHeight="true" outlineLevel="0" collapsed="false">
      <c r="B15" s="95"/>
      <c r="C15" s="96" t="s">
        <v>102</v>
      </c>
      <c r="D15" s="97" t="n">
        <v>30</v>
      </c>
      <c r="E15" s="97" t="n">
        <v>31</v>
      </c>
      <c r="F15" s="98" t="n">
        <v>30</v>
      </c>
      <c r="G15" s="99" t="n">
        <v>31</v>
      </c>
      <c r="H15" s="99" t="n">
        <v>31</v>
      </c>
      <c r="I15" s="99" t="n">
        <v>30</v>
      </c>
      <c r="J15" s="99" t="n">
        <v>31</v>
      </c>
      <c r="K15" s="99" t="n">
        <v>30</v>
      </c>
      <c r="L15" s="99" t="n">
        <v>31</v>
      </c>
      <c r="M15" s="99" t="n">
        <v>31</v>
      </c>
      <c r="N15" s="99" t="n">
        <v>28</v>
      </c>
      <c r="O15" s="100" t="n">
        <v>31</v>
      </c>
    </row>
    <row r="16" customFormat="false" ht="14.1" hidden="false" customHeight="true" outlineLevel="0" collapsed="false">
      <c r="B16" s="101"/>
      <c r="C16" s="102" t="s">
        <v>103</v>
      </c>
      <c r="D16" s="94" t="n">
        <f aca="false">D14+D15</f>
        <v>43221</v>
      </c>
      <c r="E16" s="93" t="n">
        <f aca="false">E14+E15</f>
        <v>43252</v>
      </c>
      <c r="F16" s="94" t="n">
        <f aca="false">F14+F15</f>
        <v>43282</v>
      </c>
      <c r="G16" s="93" t="n">
        <f aca="false">G14+G15</f>
        <v>43313</v>
      </c>
      <c r="H16" s="94" t="n">
        <f aca="false">H14+H15</f>
        <v>43344</v>
      </c>
      <c r="I16" s="93" t="n">
        <f aca="false">I14+I15</f>
        <v>43374</v>
      </c>
      <c r="J16" s="94" t="n">
        <f aca="false">J14+J15</f>
        <v>43405</v>
      </c>
      <c r="K16" s="93" t="n">
        <f aca="false">K14+K15</f>
        <v>43435</v>
      </c>
      <c r="L16" s="94" t="n">
        <f aca="false">L14+L15</f>
        <v>43466</v>
      </c>
      <c r="M16" s="93" t="n">
        <f aca="false">M14+M15</f>
        <v>43497</v>
      </c>
      <c r="N16" s="94" t="n">
        <f aca="false">N14+N15</f>
        <v>43525</v>
      </c>
      <c r="O16" s="93" t="n">
        <f aca="false">O14+O15</f>
        <v>43556</v>
      </c>
    </row>
    <row r="17" customFormat="false" ht="14.1" hidden="false" customHeight="true" outlineLevel="0" collapsed="false">
      <c r="B17" s="103"/>
      <c r="C17" s="103"/>
      <c r="D17" s="104"/>
      <c r="E17" s="104"/>
      <c r="F17" s="104"/>
      <c r="G17" s="104"/>
      <c r="H17" s="104"/>
      <c r="I17" s="104"/>
      <c r="J17" s="104"/>
      <c r="K17" s="104"/>
      <c r="L17" s="104"/>
      <c r="M17" s="104"/>
      <c r="N17" s="104"/>
      <c r="O17" s="104"/>
      <c r="P17" s="105"/>
    </row>
    <row r="18" customFormat="false" ht="14.1" hidden="false" customHeight="true" outlineLevel="0" collapsed="false">
      <c r="B18" s="106"/>
      <c r="C18" s="106"/>
      <c r="D18" s="104"/>
      <c r="E18" s="104"/>
      <c r="F18" s="104"/>
      <c r="G18" s="104"/>
      <c r="H18" s="104"/>
      <c r="I18" s="104"/>
      <c r="J18" s="104"/>
      <c r="K18" s="104"/>
      <c r="L18" s="104"/>
      <c r="M18" s="104"/>
      <c r="N18" s="104"/>
      <c r="O18" s="104"/>
    </row>
    <row r="19" customFormat="false" ht="21.7" hidden="false" customHeight="true" outlineLevel="0" collapsed="false">
      <c r="B19" s="107" t="s">
        <v>104</v>
      </c>
      <c r="C19" s="106"/>
      <c r="D19" s="104"/>
      <c r="E19" s="104"/>
      <c r="F19" s="104"/>
      <c r="G19" s="104"/>
      <c r="H19" s="104"/>
      <c r="I19" s="104"/>
      <c r="J19" s="104"/>
      <c r="K19" s="104"/>
      <c r="L19" s="104"/>
      <c r="M19" s="104"/>
      <c r="N19" s="104"/>
      <c r="O19" s="104"/>
    </row>
    <row r="20" s="105" customFormat="true" ht="14.1" hidden="false" customHeight="true" outlineLevel="0" collapsed="false">
      <c r="B20" s="108" t="s">
        <v>105</v>
      </c>
      <c r="C20" s="109"/>
      <c r="D20" s="72"/>
      <c r="E20" s="72"/>
      <c r="F20" s="72"/>
      <c r="G20" s="110"/>
      <c r="H20" s="110"/>
      <c r="I20" s="110"/>
      <c r="J20" s="110"/>
      <c r="K20" s="110"/>
      <c r="L20" s="110"/>
      <c r="M20" s="110"/>
      <c r="N20" s="110"/>
      <c r="O20" s="111"/>
    </row>
    <row r="21" s="105" customFormat="true" ht="14.1" hidden="false" customHeight="true" outlineLevel="0" collapsed="false">
      <c r="B21" s="112" t="s">
        <v>106</v>
      </c>
      <c r="C21" s="113"/>
      <c r="D21" s="79"/>
      <c r="E21" s="114"/>
      <c r="F21" s="79"/>
      <c r="G21" s="114"/>
      <c r="H21" s="114"/>
      <c r="I21" s="114"/>
      <c r="J21" s="114"/>
      <c r="K21" s="114"/>
      <c r="L21" s="114"/>
      <c r="M21" s="114"/>
      <c r="N21" s="114"/>
      <c r="O21" s="115"/>
    </row>
    <row r="22" customFormat="false" ht="22.45" hidden="false" customHeight="true" outlineLevel="0" collapsed="false">
      <c r="B22" s="103"/>
      <c r="C22" s="2"/>
      <c r="D22" s="2"/>
      <c r="E22" s="116" t="s">
        <v>107</v>
      </c>
      <c r="F22" s="2"/>
      <c r="G22" s="2"/>
      <c r="H22" s="2"/>
      <c r="I22" s="2"/>
      <c r="J22" s="2"/>
      <c r="K22" s="2"/>
      <c r="L22" s="2"/>
      <c r="M22" s="2"/>
      <c r="N22" s="2"/>
      <c r="O22" s="2"/>
    </row>
    <row r="23" customFormat="false" ht="14.1" hidden="false" customHeight="true" outlineLevel="0" collapsed="false">
      <c r="B23" s="2"/>
      <c r="C23" s="2"/>
      <c r="D23" s="94" t="n">
        <f aca="false">D14</f>
        <v>43191</v>
      </c>
      <c r="E23" s="93" t="n">
        <f aca="false">E14</f>
        <v>43221</v>
      </c>
      <c r="F23" s="93" t="n">
        <f aca="false">F14</f>
        <v>43252</v>
      </c>
      <c r="G23" s="93" t="n">
        <f aca="false">G14</f>
        <v>43282</v>
      </c>
      <c r="H23" s="93" t="n">
        <f aca="false">H14</f>
        <v>43313</v>
      </c>
      <c r="I23" s="93" t="n">
        <f aca="false">I14</f>
        <v>43344</v>
      </c>
      <c r="J23" s="93" t="n">
        <f aca="false">J14</f>
        <v>43374</v>
      </c>
      <c r="K23" s="93" t="n">
        <f aca="false">K14</f>
        <v>43405</v>
      </c>
      <c r="L23" s="93" t="n">
        <f aca="false">L14</f>
        <v>43435</v>
      </c>
      <c r="M23" s="93" t="n">
        <f aca="false">M14</f>
        <v>43466</v>
      </c>
      <c r="N23" s="93" t="n">
        <f aca="false">N14</f>
        <v>43497</v>
      </c>
      <c r="O23" s="93" t="n">
        <f aca="false">O14</f>
        <v>43525</v>
      </c>
    </row>
    <row r="24" customFormat="false" ht="14.1" hidden="false" customHeight="true" outlineLevel="0" collapsed="false">
      <c r="B24" s="2"/>
      <c r="C24" s="103"/>
      <c r="D24" s="117" t="s">
        <v>108</v>
      </c>
      <c r="E24" s="117" t="s">
        <v>108</v>
      </c>
      <c r="F24" s="117" t="s">
        <v>108</v>
      </c>
      <c r="G24" s="117" t="s">
        <v>108</v>
      </c>
      <c r="H24" s="117" t="s">
        <v>108</v>
      </c>
      <c r="I24" s="117" t="s">
        <v>108</v>
      </c>
      <c r="J24" s="117" t="s">
        <v>108</v>
      </c>
      <c r="K24" s="117" t="s">
        <v>108</v>
      </c>
      <c r="L24" s="117" t="s">
        <v>108</v>
      </c>
      <c r="M24" s="117" t="s">
        <v>108</v>
      </c>
      <c r="N24" s="117" t="s">
        <v>108</v>
      </c>
      <c r="O24" s="117" t="s">
        <v>108</v>
      </c>
    </row>
    <row r="25" customFormat="false" ht="14.1" hidden="false" customHeight="true" outlineLevel="0" collapsed="false">
      <c r="B25" s="103"/>
      <c r="C25" s="103"/>
      <c r="D25" s="94" t="n">
        <f aca="false">D16</f>
        <v>43221</v>
      </c>
      <c r="E25" s="93" t="n">
        <f aca="false">E16</f>
        <v>43252</v>
      </c>
      <c r="F25" s="93" t="n">
        <f aca="false">F16</f>
        <v>43282</v>
      </c>
      <c r="G25" s="93" t="n">
        <f aca="false">G16</f>
        <v>43313</v>
      </c>
      <c r="H25" s="93" t="n">
        <f aca="false">H16</f>
        <v>43344</v>
      </c>
      <c r="I25" s="93" t="n">
        <f aca="false">I16</f>
        <v>43374</v>
      </c>
      <c r="J25" s="93" t="n">
        <f aca="false">J16</f>
        <v>43405</v>
      </c>
      <c r="K25" s="93" t="n">
        <f aca="false">K16</f>
        <v>43435</v>
      </c>
      <c r="L25" s="93" t="n">
        <f aca="false">L16</f>
        <v>43466</v>
      </c>
      <c r="M25" s="93" t="n">
        <f aca="false">M16</f>
        <v>43497</v>
      </c>
      <c r="N25" s="93" t="n">
        <f aca="false">N16</f>
        <v>43525</v>
      </c>
      <c r="O25" s="93" t="n">
        <f aca="false">O16</f>
        <v>43556</v>
      </c>
    </row>
    <row r="26" customFormat="false" ht="14.1" hidden="false" customHeight="true" outlineLevel="0" collapsed="false">
      <c r="B26" s="118" t="s">
        <v>109</v>
      </c>
      <c r="C26" s="119" t="n">
        <v>0</v>
      </c>
      <c r="D26" s="97" t="n">
        <v>0</v>
      </c>
      <c r="E26" s="97" t="n">
        <v>0</v>
      </c>
      <c r="F26" s="97" t="n">
        <v>0</v>
      </c>
      <c r="G26" s="97" t="n">
        <v>0</v>
      </c>
      <c r="H26" s="97" t="n">
        <v>0</v>
      </c>
      <c r="I26" s="97" t="n">
        <v>0</v>
      </c>
      <c r="J26" s="97" t="n">
        <v>0</v>
      </c>
      <c r="K26" s="97" t="n">
        <v>0</v>
      </c>
      <c r="L26" s="97" t="n">
        <v>0</v>
      </c>
      <c r="M26" s="97" t="n">
        <v>0</v>
      </c>
      <c r="N26" s="97" t="n">
        <v>0</v>
      </c>
      <c r="O26" s="97" t="n">
        <v>0</v>
      </c>
    </row>
    <row r="27" customFormat="false" ht="14.1" hidden="false" customHeight="true" outlineLevel="0" collapsed="false">
      <c r="B27" s="118" t="s">
        <v>110</v>
      </c>
      <c r="C27" s="119" t="n">
        <v>1</v>
      </c>
      <c r="D27" s="97" t="n">
        <v>45</v>
      </c>
      <c r="E27" s="97" t="n">
        <v>30</v>
      </c>
      <c r="F27" s="97" t="n">
        <v>20</v>
      </c>
      <c r="G27" s="97" t="n">
        <v>22</v>
      </c>
      <c r="H27" s="97" t="n">
        <v>45</v>
      </c>
      <c r="I27" s="97" t="n">
        <v>60</v>
      </c>
      <c r="J27" s="97" t="n">
        <v>60</v>
      </c>
      <c r="K27" s="97" t="n">
        <v>70</v>
      </c>
      <c r="L27" s="97" t="n">
        <v>65</v>
      </c>
      <c r="M27" s="97" t="n">
        <v>50</v>
      </c>
      <c r="N27" s="97" t="n">
        <v>30</v>
      </c>
      <c r="O27" s="97" t="n">
        <v>30</v>
      </c>
    </row>
    <row r="28" customFormat="false" ht="14.1" hidden="false" customHeight="true" outlineLevel="0" collapsed="false">
      <c r="B28" s="118" t="s">
        <v>111</v>
      </c>
      <c r="C28" s="120" t="n">
        <v>0</v>
      </c>
      <c r="D28" s="97" t="n">
        <v>0</v>
      </c>
      <c r="E28" s="97" t="n">
        <v>0</v>
      </c>
      <c r="F28" s="97" t="n">
        <v>0</v>
      </c>
      <c r="G28" s="97" t="n">
        <v>0</v>
      </c>
      <c r="H28" s="97" t="n">
        <v>0</v>
      </c>
      <c r="I28" s="97" t="n">
        <v>0</v>
      </c>
      <c r="J28" s="97" t="n">
        <v>0</v>
      </c>
      <c r="K28" s="97" t="n">
        <v>0</v>
      </c>
      <c r="L28" s="97" t="n">
        <v>0</v>
      </c>
      <c r="M28" s="97" t="n">
        <v>0</v>
      </c>
      <c r="N28" s="97" t="n">
        <v>0</v>
      </c>
      <c r="O28" s="97" t="n">
        <v>0</v>
      </c>
    </row>
    <row r="29" customFormat="false" ht="14.1" hidden="false" customHeight="true" outlineLevel="0" collapsed="false">
      <c r="B29" s="121" t="str">
        <f aca="false">IF(C29=1,"OK"," Must add up to 100%")</f>
        <v>OK</v>
      </c>
      <c r="C29" s="122" t="n">
        <f aca="false">SUM(C26:C28)</f>
        <v>1</v>
      </c>
      <c r="D29" s="123"/>
      <c r="E29" s="123"/>
      <c r="F29" s="123"/>
      <c r="G29" s="123"/>
      <c r="H29" s="123"/>
      <c r="I29" s="123"/>
      <c r="J29" s="123"/>
      <c r="K29" s="123"/>
      <c r="L29" s="123"/>
      <c r="M29" s="123"/>
      <c r="N29" s="123"/>
      <c r="O29" s="123"/>
    </row>
    <row r="30" customFormat="false" ht="14.1" hidden="false" customHeight="true" outlineLevel="0" collapsed="false">
      <c r="B30" s="62"/>
      <c r="C30" s="124" t="s">
        <v>112</v>
      </c>
      <c r="D30" s="125" t="n">
        <f aca="false">(D26*$C$26)+(D27*$C$27)+(D28*$C$28)</f>
        <v>45</v>
      </c>
      <c r="E30" s="125" t="n">
        <f aca="false">(E26*$C$26)+(E27*$C$27)+(E28*$C$28)</f>
        <v>30</v>
      </c>
      <c r="F30" s="125" t="n">
        <f aca="false">(F26*$C$26)+(F27*$C$27)+(F28*$C$28)</f>
        <v>20</v>
      </c>
      <c r="G30" s="125" t="n">
        <f aca="false">(G26*$C$26)+(G27*$C$27)+(G28*$C$28)</f>
        <v>22</v>
      </c>
      <c r="H30" s="125" t="n">
        <f aca="false">(H26*$C$26)+(H27*$C$27)+(H28*$C$28)</f>
        <v>45</v>
      </c>
      <c r="I30" s="125" t="n">
        <f aca="false">(I26*$C$26)+(I27*$C$27)+(I28*$C$28)</f>
        <v>60</v>
      </c>
      <c r="J30" s="125" t="n">
        <f aca="false">(J26*$C$26)+(J27*$C$27)+(J28*$C$28)</f>
        <v>60</v>
      </c>
      <c r="K30" s="125" t="n">
        <f aca="false">(K26*$C$26)+(K27*$C$27)+(K28*$C$28)</f>
        <v>70</v>
      </c>
      <c r="L30" s="125" t="n">
        <f aca="false">(L26*$C$26)+(L27*$C$27)+(L28*$C$28)</f>
        <v>65</v>
      </c>
      <c r="M30" s="125" t="n">
        <f aca="false">(M26*$C$26)+(M27*$C$27)+(M28*$C$28)</f>
        <v>50</v>
      </c>
      <c r="N30" s="125" t="n">
        <f aca="false">(N26*$C$26)+(N27*$C$27)+(N28*$C$28)</f>
        <v>30</v>
      </c>
      <c r="O30" s="125" t="n">
        <f aca="false">(O26*$C$26)+(O27*$C$27)+(O28*$C$28)</f>
        <v>30</v>
      </c>
    </row>
    <row r="31" customFormat="false" ht="14.1" hidden="false" customHeight="true" outlineLevel="0" collapsed="false">
      <c r="B31" s="106"/>
      <c r="C31" s="126"/>
      <c r="D31" s="127"/>
      <c r="E31" s="127"/>
      <c r="F31" s="127"/>
      <c r="G31" s="127"/>
      <c r="H31" s="127"/>
      <c r="I31" s="127"/>
      <c r="J31" s="127"/>
      <c r="K31" s="127"/>
      <c r="L31" s="127"/>
      <c r="M31" s="127"/>
      <c r="N31" s="127"/>
      <c r="O31" s="127"/>
    </row>
    <row r="32" customFormat="false" ht="14.1" hidden="false" customHeight="true" outlineLevel="0" collapsed="false">
      <c r="B32" s="103"/>
      <c r="C32" s="103"/>
    </row>
    <row r="33" customFormat="false" ht="28.35" hidden="false" customHeight="true" outlineLevel="0" collapsed="false">
      <c r="B33" s="128" t="s">
        <v>113</v>
      </c>
      <c r="C33" s="129"/>
      <c r="D33" s="130" t="s">
        <v>89</v>
      </c>
      <c r="E33" s="131" t="s">
        <v>90</v>
      </c>
      <c r="F33" s="132" t="s">
        <v>91</v>
      </c>
      <c r="G33" s="133" t="s">
        <v>92</v>
      </c>
      <c r="H33" s="134" t="s">
        <v>93</v>
      </c>
      <c r="I33" s="133" t="s">
        <v>94</v>
      </c>
      <c r="J33" s="134" t="s">
        <v>95</v>
      </c>
      <c r="K33" s="133" t="s">
        <v>96</v>
      </c>
      <c r="L33" s="134" t="s">
        <v>97</v>
      </c>
      <c r="M33" s="133" t="s">
        <v>98</v>
      </c>
      <c r="N33" s="134" t="s">
        <v>99</v>
      </c>
      <c r="O33" s="135" t="s">
        <v>100</v>
      </c>
    </row>
    <row r="34" customFormat="false" ht="14.1" hidden="false" customHeight="true" outlineLevel="0" collapsed="false">
      <c r="B34" s="136"/>
      <c r="C34" s="137" t="s">
        <v>114</v>
      </c>
      <c r="D34" s="138" t="n">
        <f aca="false">D14</f>
        <v>43191</v>
      </c>
      <c r="E34" s="93" t="n">
        <f aca="false">D36</f>
        <v>43221</v>
      </c>
      <c r="F34" s="93" t="n">
        <f aca="false">E36</f>
        <v>43252</v>
      </c>
      <c r="G34" s="93" t="n">
        <f aca="false">F36</f>
        <v>43282</v>
      </c>
      <c r="H34" s="93" t="n">
        <f aca="false">G36</f>
        <v>43313</v>
      </c>
      <c r="I34" s="93" t="n">
        <f aca="false">H36</f>
        <v>43344</v>
      </c>
      <c r="J34" s="93" t="n">
        <f aca="false">I36</f>
        <v>43374</v>
      </c>
      <c r="K34" s="93" t="n">
        <f aca="false">J36</f>
        <v>43405</v>
      </c>
      <c r="L34" s="93" t="n">
        <f aca="false">K36</f>
        <v>43435</v>
      </c>
      <c r="M34" s="93" t="n">
        <f aca="false">L36</f>
        <v>43466</v>
      </c>
      <c r="N34" s="93" t="n">
        <f aca="false">M36</f>
        <v>43497</v>
      </c>
      <c r="O34" s="93" t="n">
        <f aca="false">N36</f>
        <v>43525</v>
      </c>
    </row>
    <row r="35" customFormat="false" ht="14.1" hidden="false" customHeight="true" outlineLevel="0" collapsed="false">
      <c r="B35" s="136"/>
      <c r="C35" s="137" t="s">
        <v>115</v>
      </c>
      <c r="D35" s="139" t="n">
        <v>1990</v>
      </c>
      <c r="E35" s="140"/>
      <c r="F35" s="141"/>
      <c r="G35" s="142"/>
      <c r="H35" s="93"/>
      <c r="I35" s="142"/>
      <c r="J35" s="143"/>
      <c r="K35" s="142"/>
      <c r="L35" s="143"/>
      <c r="M35" s="142"/>
      <c r="N35" s="143"/>
      <c r="O35" s="94"/>
    </row>
    <row r="36" customFormat="false" ht="14.1" hidden="false" customHeight="true" outlineLevel="0" collapsed="false">
      <c r="B36" s="144" t="s">
        <v>116</v>
      </c>
      <c r="C36" s="145"/>
      <c r="D36" s="146" t="n">
        <f aca="false">D16</f>
        <v>43221</v>
      </c>
      <c r="E36" s="147" t="n">
        <f aca="false">E25</f>
        <v>43252</v>
      </c>
      <c r="F36" s="147" t="n">
        <f aca="false">F25</f>
        <v>43282</v>
      </c>
      <c r="G36" s="147" t="n">
        <f aca="false">G25</f>
        <v>43313</v>
      </c>
      <c r="H36" s="147" t="n">
        <f aca="false">H25</f>
        <v>43344</v>
      </c>
      <c r="I36" s="147" t="n">
        <f aca="false">I25</f>
        <v>43374</v>
      </c>
      <c r="J36" s="147" t="n">
        <f aca="false">J25</f>
        <v>43405</v>
      </c>
      <c r="K36" s="147" t="n">
        <f aca="false">K25</f>
        <v>43435</v>
      </c>
      <c r="L36" s="147" t="n">
        <f aca="false">L25</f>
        <v>43466</v>
      </c>
      <c r="M36" s="147" t="n">
        <f aca="false">M25</f>
        <v>43497</v>
      </c>
      <c r="N36" s="147" t="n">
        <f aca="false">N25</f>
        <v>43525</v>
      </c>
      <c r="O36" s="147" t="n">
        <f aca="false">O25</f>
        <v>43556</v>
      </c>
    </row>
    <row r="37" customFormat="false" ht="14.1" hidden="false" customHeight="true" outlineLevel="0" collapsed="false">
      <c r="B37" s="148"/>
      <c r="C37" s="149" t="s">
        <v>117</v>
      </c>
      <c r="D37" s="150" t="n">
        <v>2000</v>
      </c>
      <c r="E37" s="150" t="n">
        <v>2200</v>
      </c>
      <c r="F37" s="150" t="n">
        <v>2300</v>
      </c>
      <c r="G37" s="150" t="n">
        <v>2500</v>
      </c>
      <c r="H37" s="150" t="n">
        <v>2000</v>
      </c>
      <c r="I37" s="150" t="n">
        <v>1800</v>
      </c>
      <c r="J37" s="150" t="n">
        <v>2200</v>
      </c>
      <c r="K37" s="150" t="n">
        <v>2500</v>
      </c>
      <c r="L37" s="150" t="n">
        <v>2400</v>
      </c>
      <c r="M37" s="150" t="n">
        <v>2000</v>
      </c>
      <c r="N37" s="150" t="n">
        <v>2000</v>
      </c>
      <c r="O37" s="150" t="n">
        <v>1800</v>
      </c>
    </row>
    <row r="38" customFormat="false" ht="14.1" hidden="false" customHeight="true" outlineLevel="0" collapsed="false">
      <c r="B38" s="103"/>
      <c r="C38" s="103"/>
    </row>
    <row r="39" customFormat="false" ht="26.45" hidden="false" customHeight="false" outlineLevel="0" collapsed="false">
      <c r="B39" s="151" t="s">
        <v>118</v>
      </c>
      <c r="C39" s="52"/>
      <c r="D39" s="52"/>
      <c r="E39" s="52"/>
      <c r="F39" s="52"/>
      <c r="G39" s="52"/>
      <c r="H39" s="52"/>
      <c r="I39" s="52"/>
      <c r="J39" s="52"/>
      <c r="K39" s="52"/>
      <c r="L39" s="52"/>
      <c r="M39" s="52"/>
      <c r="N39" s="52"/>
      <c r="O39" s="52"/>
    </row>
    <row r="40" customFormat="false" ht="14.65" hidden="false" customHeight="false" outlineLevel="0" collapsed="false">
      <c r="B40" s="72" t="s">
        <v>119</v>
      </c>
      <c r="C40" s="72"/>
      <c r="D40" s="72"/>
      <c r="E40" s="72"/>
      <c r="F40" s="72"/>
      <c r="G40" s="72"/>
      <c r="H40" s="72"/>
      <c r="I40" s="72"/>
      <c r="J40" s="72"/>
      <c r="K40" s="72"/>
      <c r="L40" s="72"/>
      <c r="M40" s="72"/>
      <c r="N40" s="72"/>
      <c r="O40" s="73"/>
    </row>
    <row r="41" customFormat="false" ht="14.15" hidden="false" customHeight="true" outlineLevel="0" collapsed="false">
      <c r="B41" s="76" t="s">
        <v>120</v>
      </c>
      <c r="C41" s="76"/>
      <c r="D41" s="76"/>
      <c r="E41" s="76"/>
      <c r="F41" s="76"/>
      <c r="G41" s="76"/>
      <c r="H41" s="76"/>
      <c r="I41" s="76"/>
      <c r="J41" s="76"/>
      <c r="K41" s="76"/>
      <c r="L41" s="76"/>
      <c r="M41" s="76"/>
      <c r="N41" s="76"/>
      <c r="O41" s="77"/>
    </row>
    <row r="42" customFormat="false" ht="14.15" hidden="false" customHeight="true" outlineLevel="0" collapsed="false">
      <c r="B42" s="79" t="s">
        <v>121</v>
      </c>
      <c r="C42" s="79"/>
      <c r="D42" s="79"/>
      <c r="E42" s="79"/>
      <c r="F42" s="79"/>
      <c r="G42" s="79"/>
      <c r="H42" s="79"/>
      <c r="I42" s="79"/>
      <c r="J42" s="79"/>
      <c r="K42" s="79"/>
      <c r="L42" s="79"/>
      <c r="M42" s="79"/>
      <c r="N42" s="79"/>
      <c r="O42" s="80"/>
    </row>
    <row r="43" customFormat="false" ht="14.15" hidden="false" customHeight="true" outlineLevel="0" collapsed="false">
      <c r="B43" s="65"/>
      <c r="C43" s="152"/>
      <c r="D43" s="55" t="s">
        <v>89</v>
      </c>
      <c r="E43" s="55" t="s">
        <v>90</v>
      </c>
      <c r="F43" s="55" t="s">
        <v>91</v>
      </c>
      <c r="G43" s="55" t="s">
        <v>92</v>
      </c>
      <c r="H43" s="55" t="s">
        <v>93</v>
      </c>
      <c r="I43" s="55" t="s">
        <v>94</v>
      </c>
      <c r="J43" s="55" t="s">
        <v>95</v>
      </c>
      <c r="K43" s="55" t="s">
        <v>96</v>
      </c>
      <c r="L43" s="55" t="s">
        <v>97</v>
      </c>
      <c r="M43" s="55" t="s">
        <v>98</v>
      </c>
      <c r="N43" s="55" t="s">
        <v>99</v>
      </c>
      <c r="O43" s="55" t="s">
        <v>100</v>
      </c>
    </row>
    <row r="44" customFormat="false" ht="21.7" hidden="false" customHeight="true" outlineLevel="0" collapsed="false">
      <c r="B44" s="62"/>
      <c r="C44" s="153" t="s">
        <v>122</v>
      </c>
      <c r="D44" s="94" t="n">
        <f aca="false">D34</f>
        <v>43191</v>
      </c>
      <c r="E44" s="94" t="n">
        <f aca="false">E34</f>
        <v>43221</v>
      </c>
      <c r="F44" s="94" t="n">
        <f aca="false">F34</f>
        <v>43252</v>
      </c>
      <c r="G44" s="94" t="n">
        <f aca="false">G34</f>
        <v>43282</v>
      </c>
      <c r="H44" s="94" t="n">
        <f aca="false">H34</f>
        <v>43313</v>
      </c>
      <c r="I44" s="94" t="n">
        <f aca="false">I34</f>
        <v>43344</v>
      </c>
      <c r="J44" s="94" t="n">
        <f aca="false">J34</f>
        <v>43374</v>
      </c>
      <c r="K44" s="94" t="n">
        <f aca="false">K34</f>
        <v>43405</v>
      </c>
      <c r="L44" s="94" t="n">
        <f aca="false">L34</f>
        <v>43435</v>
      </c>
      <c r="M44" s="94" t="n">
        <f aca="false">M34</f>
        <v>43466</v>
      </c>
      <c r="N44" s="94" t="n">
        <f aca="false">N34</f>
        <v>43497</v>
      </c>
      <c r="O44" s="94" t="n">
        <f aca="false">O34</f>
        <v>43525</v>
      </c>
    </row>
    <row r="45" customFormat="false" ht="14.1" hidden="false" customHeight="true" outlineLevel="0" collapsed="false">
      <c r="C45" s="154" t="s">
        <v>123</v>
      </c>
      <c r="D45" s="155" t="n">
        <v>0.9</v>
      </c>
      <c r="E45" s="155" t="n">
        <v>0.95</v>
      </c>
      <c r="F45" s="155" t="n">
        <v>0.9</v>
      </c>
      <c r="G45" s="155" t="n">
        <v>0.75</v>
      </c>
      <c r="H45" s="155" t="n">
        <v>0.8</v>
      </c>
      <c r="I45" s="155" t="n">
        <v>0.85</v>
      </c>
      <c r="J45" s="155" t="n">
        <v>0.85</v>
      </c>
      <c r="K45" s="155" t="n">
        <v>0.85</v>
      </c>
      <c r="L45" s="155" t="n">
        <v>0.8</v>
      </c>
      <c r="M45" s="155" t="n">
        <v>0.75</v>
      </c>
      <c r="N45" s="155" t="n">
        <v>0.85</v>
      </c>
      <c r="O45" s="155" t="n">
        <v>0.9</v>
      </c>
    </row>
    <row r="46" customFormat="false" ht="14.1" hidden="false" customHeight="true" outlineLevel="0" collapsed="false">
      <c r="B46" s="70"/>
      <c r="D46" s="156"/>
      <c r="E46" s="156"/>
      <c r="F46" s="157"/>
      <c r="G46" s="156"/>
      <c r="H46" s="156"/>
      <c r="I46" s="156"/>
      <c r="J46" s="156"/>
      <c r="K46" s="156"/>
      <c r="L46" s="156"/>
      <c r="M46" s="156"/>
      <c r="N46" s="156"/>
      <c r="O46" s="156"/>
    </row>
    <row r="47" customFormat="false" ht="28.35" hidden="false" customHeight="true" outlineLevel="0" collapsed="false">
      <c r="A47" s="0"/>
      <c r="B47" s="151" t="s">
        <v>124</v>
      </c>
      <c r="C47" s="158"/>
      <c r="D47" s="0"/>
      <c r="E47" s="52"/>
      <c r="F47" s="52"/>
      <c r="G47" s="52"/>
      <c r="H47" s="52"/>
      <c r="I47" s="52"/>
      <c r="J47" s="52"/>
      <c r="K47" s="52"/>
      <c r="L47" s="52"/>
      <c r="M47" s="52"/>
      <c r="N47" s="52"/>
      <c r="O47" s="52"/>
    </row>
    <row r="48" customFormat="false" ht="28.35" hidden="false" customHeight="true" outlineLevel="0" collapsed="false">
      <c r="A48" s="151"/>
      <c r="B48" s="159"/>
      <c r="C48" s="160" t="s">
        <v>125</v>
      </c>
      <c r="D48" s="55" t="s">
        <v>89</v>
      </c>
      <c r="E48" s="161" t="s">
        <v>90</v>
      </c>
      <c r="F48" s="161" t="s">
        <v>91</v>
      </c>
      <c r="G48" s="161" t="s">
        <v>92</v>
      </c>
      <c r="H48" s="161" t="s">
        <v>93</v>
      </c>
      <c r="I48" s="161" t="s">
        <v>94</v>
      </c>
      <c r="J48" s="161" t="s">
        <v>95</v>
      </c>
      <c r="K48" s="161" t="s">
        <v>96</v>
      </c>
      <c r="L48" s="161" t="s">
        <v>97</v>
      </c>
      <c r="M48" s="161" t="s">
        <v>98</v>
      </c>
      <c r="N48" s="161" t="s">
        <v>99</v>
      </c>
      <c r="O48" s="161" t="s">
        <v>100</v>
      </c>
    </row>
    <row r="49" customFormat="false" ht="14.1" hidden="false" customHeight="true" outlineLevel="0" collapsed="false">
      <c r="A49" s="74" t="s">
        <v>126</v>
      </c>
      <c r="B49" s="162" t="s">
        <v>127</v>
      </c>
      <c r="C49" s="163" t="s">
        <v>128</v>
      </c>
      <c r="D49" s="164" t="n">
        <v>1</v>
      </c>
      <c r="E49" s="165" t="n">
        <v>2</v>
      </c>
      <c r="F49" s="166" t="n">
        <v>3</v>
      </c>
      <c r="G49" s="166" t="n">
        <v>4</v>
      </c>
      <c r="H49" s="165" t="n">
        <v>5</v>
      </c>
      <c r="I49" s="166" t="n">
        <v>6</v>
      </c>
      <c r="J49" s="166" t="n">
        <v>7</v>
      </c>
      <c r="K49" s="166" t="n">
        <v>8</v>
      </c>
      <c r="L49" s="166" t="n">
        <v>9</v>
      </c>
      <c r="M49" s="166" t="n">
        <v>10</v>
      </c>
      <c r="N49" s="166" t="n">
        <v>11</v>
      </c>
      <c r="O49" s="167" t="n">
        <v>12</v>
      </c>
      <c r="P49" s="105"/>
    </row>
    <row r="50" customFormat="false" ht="14.1" hidden="false" customHeight="true" outlineLevel="0" collapsed="false">
      <c r="A50" s="168" t="s">
        <v>129</v>
      </c>
      <c r="B50" s="169" t="n">
        <v>75</v>
      </c>
      <c r="C50" s="170" t="n">
        <v>110000</v>
      </c>
      <c r="D50" s="171" t="n">
        <f aca="false">VLOOKUP($A50,Period1!$F$6:$M$10,8,0)</f>
        <v>90000</v>
      </c>
      <c r="E50" s="171" t="n">
        <f aca="false">VLOOKUP($A50,Period2!$F$6:$M$10,8,0)</f>
        <v>90000</v>
      </c>
      <c r="F50" s="171" t="n">
        <f aca="false">VLOOKUP($A50,Period3!$F$6:$M$10,8,0)</f>
        <v>90000</v>
      </c>
      <c r="G50" s="171" t="n">
        <f aca="false">VLOOKUP($A50,Period4!$F$6:$M$10,8,0)</f>
        <v>85040</v>
      </c>
      <c r="H50" s="171" t="n">
        <f aca="false">VLOOKUP($A50,Period5!$F$6:$M$10,8,0)</f>
        <v>64373.3333333333</v>
      </c>
      <c r="I50" s="171" t="n">
        <f aca="false">VLOOKUP($A50,Period6!$F$6:$M$10,8,0)</f>
        <v>44373.3333333333</v>
      </c>
      <c r="J50" s="171" t="n">
        <f aca="false">VLOOKUP($A50,Period7!$F$6:$M$10,8,0)</f>
        <v>38706.6666666667</v>
      </c>
      <c r="K50" s="171" t="n">
        <f aca="false">VLOOKUP($A50,Period8!$F$6:$M$10,8,0)</f>
        <v>56706.6666666667</v>
      </c>
      <c r="L50" s="171" t="n">
        <f aca="false">VLOOKUP($A50,Period9!$F$6:$M$10,8,0)</f>
        <v>72173.3333333333</v>
      </c>
      <c r="M50" s="171" t="n">
        <f aca="false">VLOOKUP($A50,Period10!$F$6:$M$10,8,0)</f>
        <v>72173.3333333333</v>
      </c>
      <c r="N50" s="171" t="n">
        <f aca="false">VLOOKUP($A50,Period11!$F$6:$M$10,8,0)</f>
        <v>72173.3333333333</v>
      </c>
      <c r="O50" s="171" t="n">
        <f aca="false">VLOOKUP($A50,Period12!$F$6:$M$10,8,0)</f>
        <v>59773.3333333333</v>
      </c>
      <c r="P50" s="105" t="n">
        <v>6</v>
      </c>
    </row>
    <row r="51" customFormat="false" ht="14.1" hidden="false" customHeight="true" outlineLevel="0" collapsed="false">
      <c r="A51" s="168" t="s">
        <v>130</v>
      </c>
      <c r="B51" s="169" t="n">
        <v>80</v>
      </c>
      <c r="C51" s="170" t="n">
        <v>0</v>
      </c>
      <c r="D51" s="172" t="n">
        <f aca="false">VLOOKUP($A51,Period1!$F$6:$M$10,8,0)</f>
        <v>0</v>
      </c>
      <c r="E51" s="172" t="n">
        <f aca="false">VLOOKUP($A51,Period2!$F$6:$M$10,8,0)</f>
        <v>0</v>
      </c>
      <c r="F51" s="172" t="n">
        <f aca="false">VLOOKUP($A51,Period3!$F$6:$M$10,8,0)</f>
        <v>0</v>
      </c>
      <c r="G51" s="172" t="n">
        <f aca="false">VLOOKUP($A51,Period4!$F$6:$M$10,8,0)</f>
        <v>0</v>
      </c>
      <c r="H51" s="172" t="n">
        <f aca="false">VLOOKUP($A51,Period5!$F$6:$M$10,8,0)</f>
        <v>0</v>
      </c>
      <c r="I51" s="172" t="n">
        <f aca="false">VLOOKUP($A51,Period6!$F$6:$M$10,8,0)</f>
        <v>0</v>
      </c>
      <c r="J51" s="172" t="n">
        <f aca="false">VLOOKUP($A51,Period7!$F$6:$M$10,8,0)</f>
        <v>0</v>
      </c>
      <c r="K51" s="172" t="n">
        <f aca="false">VLOOKUP($A51,Period8!$F$6:$M$10,8,0)</f>
        <v>0</v>
      </c>
      <c r="L51" s="172" t="n">
        <f aca="false">VLOOKUP($A51,Period9!$F$6:$M$10,8,0)</f>
        <v>0</v>
      </c>
      <c r="M51" s="172" t="n">
        <f aca="false">VLOOKUP($A51,Period10!$F$6:$M$10,8,0)</f>
        <v>0</v>
      </c>
      <c r="N51" s="172" t="n">
        <f aca="false">VLOOKUP($A51,Period11!$F$6:$M$10,8,0)</f>
        <v>0</v>
      </c>
      <c r="O51" s="172" t="n">
        <f aca="false">VLOOKUP($A51,Period12!$F$6:$M$10,8,0)</f>
        <v>0</v>
      </c>
      <c r="P51" s="105" t="n">
        <v>7</v>
      </c>
    </row>
    <row r="52" customFormat="false" ht="14.1" hidden="false" customHeight="true" outlineLevel="0" collapsed="false">
      <c r="A52" s="168" t="s">
        <v>131</v>
      </c>
      <c r="B52" s="169" t="n">
        <v>85</v>
      </c>
      <c r="C52" s="170" t="n">
        <v>100000</v>
      </c>
      <c r="D52" s="172" t="n">
        <f aca="false">VLOOKUP($A52,Period1!$F$6:$M$10,8,0)</f>
        <v>78823.5294117647</v>
      </c>
      <c r="E52" s="172" t="n">
        <f aca="false">VLOOKUP($A52,Period2!$F$6:$M$10,8,0)</f>
        <v>56941.1764705882</v>
      </c>
      <c r="F52" s="172" t="n">
        <f aca="false">VLOOKUP($A52,Period3!$F$6:$M$10,8,0)</f>
        <v>42823.5294117647</v>
      </c>
      <c r="G52" s="172" t="n">
        <f aca="false">VLOOKUP($A52,Period4!$F$6:$M$10,8,0)</f>
        <v>26776.4705882353</v>
      </c>
      <c r="H52" s="172" t="n">
        <f aca="false">VLOOKUP($A52,Period5!$F$6:$M$10,8,0)</f>
        <v>26776.4705882353</v>
      </c>
      <c r="I52" s="172" t="n">
        <f aca="false">VLOOKUP($A52,Period6!$F$6:$M$10,8,0)</f>
        <v>17952.9411764706</v>
      </c>
      <c r="J52" s="172" t="n">
        <f aca="false">VLOOKUP($A52,Period7!$F$6:$M$10,8,0)</f>
        <v>17952.9411764706</v>
      </c>
      <c r="K52" s="172" t="n">
        <f aca="false">VLOOKUP($A52,Period8!$F$6:$M$10,8,0)</f>
        <v>17952.9411764706</v>
      </c>
      <c r="L52" s="172" t="n">
        <f aca="false">VLOOKUP($A52,Period9!$F$6:$M$10,8,0)</f>
        <v>92952.9411764706</v>
      </c>
      <c r="M52" s="172" t="n">
        <f aca="false">VLOOKUP($A52,Period10!$F$6:$M$10,8,0)</f>
        <v>162952.941176471</v>
      </c>
      <c r="N52" s="172" t="n">
        <f aca="false">VLOOKUP($A52,Period11!$F$6:$M$10,8,0)</f>
        <v>162952.941176471</v>
      </c>
      <c r="O52" s="172" t="n">
        <f aca="false">VLOOKUP($A52,Period12!$F$6:$M$10,8,0)</f>
        <v>155658.823529412</v>
      </c>
      <c r="P52" s="105" t="n">
        <v>8</v>
      </c>
    </row>
    <row r="53" customFormat="false" ht="14.1" hidden="false" customHeight="true" outlineLevel="0" collapsed="false">
      <c r="A53" s="168" t="s">
        <v>132</v>
      </c>
      <c r="B53" s="169" t="n">
        <v>90</v>
      </c>
      <c r="C53" s="170" t="n">
        <v>0</v>
      </c>
      <c r="D53" s="172" t="n">
        <f aca="false">VLOOKUP($A53,Period1!$F$6:$M$10,8,0)</f>
        <v>0</v>
      </c>
      <c r="E53" s="172" t="n">
        <f aca="false">VLOOKUP($A53,Period2!$F$6:$M$10,8,0)</f>
        <v>0</v>
      </c>
      <c r="F53" s="172" t="n">
        <f aca="false">VLOOKUP($A53,Period3!$F$6:$M$10,8,0)</f>
        <v>0</v>
      </c>
      <c r="G53" s="172" t="n">
        <f aca="false">VLOOKUP($A53,Period4!$F$6:$M$10,8,0)</f>
        <v>0</v>
      </c>
      <c r="H53" s="172" t="n">
        <f aca="false">VLOOKUP($A53,Period5!$F$6:$M$10,8,0)</f>
        <v>0</v>
      </c>
      <c r="I53" s="172" t="n">
        <f aca="false">VLOOKUP($A53,Period6!$F$6:$M$10,8,0)</f>
        <v>0</v>
      </c>
      <c r="J53" s="172" t="n">
        <f aca="false">VLOOKUP($A53,Period7!$F$6:$M$10,8,0)</f>
        <v>0</v>
      </c>
      <c r="K53" s="172" t="n">
        <f aca="false">VLOOKUP($A53,Period8!$F$6:$M$10,8,0)</f>
        <v>0</v>
      </c>
      <c r="L53" s="172" t="n">
        <f aca="false">VLOOKUP($A53,Period9!$F$6:$M$10,8,0)</f>
        <v>0</v>
      </c>
      <c r="M53" s="172" t="n">
        <f aca="false">VLOOKUP($A53,Period10!$F$6:$M$10,8,0)</f>
        <v>0</v>
      </c>
      <c r="N53" s="172" t="n">
        <f aca="false">VLOOKUP($A53,Period11!$F$6:$M$10,8,0)</f>
        <v>0</v>
      </c>
      <c r="O53" s="172" t="n">
        <f aca="false">VLOOKUP($A53,Period12!$F$6:$M$10,8,0)</f>
        <v>0</v>
      </c>
      <c r="P53" s="105" t="n">
        <v>9</v>
      </c>
    </row>
    <row r="54" customFormat="false" ht="14.1" hidden="false" customHeight="true" outlineLevel="0" collapsed="false">
      <c r="A54" s="168" t="s">
        <v>133</v>
      </c>
      <c r="B54" s="169" t="n">
        <v>95</v>
      </c>
      <c r="C54" s="170" t="n">
        <v>15000</v>
      </c>
      <c r="D54" s="172" t="n">
        <f aca="false">VLOOKUP($A54,Period1!$F$6:$M$10,8,0)</f>
        <v>15000</v>
      </c>
      <c r="E54" s="172" t="n">
        <f aca="false">VLOOKUP($A54,Period2!$F$6:$M$10,8,0)</f>
        <v>15000</v>
      </c>
      <c r="F54" s="172" t="n">
        <f aca="false">VLOOKUP($A54,Period3!$F$6:$M$10,8,0)</f>
        <v>15000</v>
      </c>
      <c r="G54" s="172" t="n">
        <f aca="false">VLOOKUP($A54,Period4!$F$6:$M$10,8,0)</f>
        <v>13042.1052631579</v>
      </c>
      <c r="H54" s="172" t="n">
        <f aca="false">VLOOKUP($A54,Period5!$F$6:$M$10,8,0)</f>
        <v>4884.21052631579</v>
      </c>
      <c r="I54" s="172" t="n">
        <f aca="false">VLOOKUP($A54,Period6!$F$6:$M$10,8,0)</f>
        <v>8989.47368421053</v>
      </c>
      <c r="J54" s="172" t="n">
        <f aca="false">VLOOKUP($A54,Period7!$F$6:$M$10,8,0)</f>
        <v>831.578947368422</v>
      </c>
      <c r="K54" s="172" t="n">
        <f aca="false">VLOOKUP($A54,Period8!$F$6:$M$10,8,0)</f>
        <v>831.578947368422</v>
      </c>
      <c r="L54" s="172" t="n">
        <f aca="false">VLOOKUP($A54,Period9!$F$6:$M$10,8,0)</f>
        <v>831.578947368422</v>
      </c>
      <c r="M54" s="172" t="n">
        <f aca="false">VLOOKUP($A54,Period10!$F$6:$M$10,8,0)</f>
        <v>831.578947368422</v>
      </c>
      <c r="N54" s="172" t="n">
        <f aca="false">VLOOKUP($A54,Period11!$F$6:$M$10,8,0)</f>
        <v>831.578947368422</v>
      </c>
      <c r="O54" s="172" t="n">
        <f aca="false">VLOOKUP($A54,Period12!$F$6:$M$10,8,0)</f>
        <v>831.578947368422</v>
      </c>
      <c r="P54" s="105" t="n">
        <v>10</v>
      </c>
    </row>
    <row r="55" customFormat="false" ht="14.1" hidden="false" customHeight="true" outlineLevel="0" collapsed="false">
      <c r="B55" s="70"/>
      <c r="C55" s="70"/>
      <c r="D55" s="173"/>
      <c r="E55" s="174"/>
      <c r="F55" s="174"/>
      <c r="G55" s="174"/>
      <c r="H55" s="174"/>
      <c r="I55" s="174"/>
      <c r="J55" s="174"/>
      <c r="K55" s="174"/>
      <c r="L55" s="174"/>
      <c r="M55" s="174"/>
      <c r="N55" s="174"/>
      <c r="O55" s="174"/>
    </row>
    <row r="56" customFormat="false" ht="28.35" hidden="false" customHeight="true" outlineLevel="0" collapsed="false">
      <c r="B56" s="175" t="s">
        <v>134</v>
      </c>
      <c r="C56" s="70"/>
      <c r="D56" s="173"/>
      <c r="E56" s="176"/>
    </row>
    <row r="57" s="105" customFormat="true" ht="27.7" hidden="false" customHeight="true" outlineLevel="0" collapsed="false">
      <c r="B57" s="74"/>
      <c r="C57" s="44"/>
      <c r="D57" s="44"/>
      <c r="E57" s="22" t="s">
        <v>135</v>
      </c>
      <c r="F57" s="44"/>
      <c r="G57" s="44"/>
      <c r="H57" s="44"/>
      <c r="I57" s="44"/>
      <c r="J57" s="44"/>
      <c r="K57" s="44"/>
      <c r="L57" s="44"/>
      <c r="M57" s="44"/>
      <c r="N57" s="44"/>
      <c r="O57" s="44"/>
    </row>
    <row r="58" s="105" customFormat="true" ht="18.7" hidden="false" customHeight="true" outlineLevel="0" collapsed="false">
      <c r="B58" s="74"/>
      <c r="C58" s="44"/>
      <c r="D58" s="177" t="s">
        <v>89</v>
      </c>
      <c r="E58" s="177" t="s">
        <v>90</v>
      </c>
      <c r="F58" s="177" t="s">
        <v>91</v>
      </c>
      <c r="G58" s="177" t="s">
        <v>92</v>
      </c>
      <c r="H58" s="177" t="s">
        <v>93</v>
      </c>
      <c r="I58" s="177" t="s">
        <v>94</v>
      </c>
      <c r="J58" s="177" t="s">
        <v>95</v>
      </c>
      <c r="K58" s="177" t="s">
        <v>96</v>
      </c>
      <c r="L58" s="177" t="s">
        <v>97</v>
      </c>
      <c r="M58" s="177" t="s">
        <v>98</v>
      </c>
      <c r="N58" s="177" t="s">
        <v>99</v>
      </c>
      <c r="O58" s="177" t="s">
        <v>100</v>
      </c>
    </row>
    <row r="59" customFormat="false" ht="14.1" hidden="false" customHeight="true" outlineLevel="0" collapsed="false">
      <c r="B59" s="2"/>
      <c r="C59" s="2"/>
      <c r="D59" s="94" t="n">
        <f aca="false">D23</f>
        <v>43191</v>
      </c>
      <c r="E59" s="93" t="n">
        <f aca="false">E23</f>
        <v>43221</v>
      </c>
      <c r="F59" s="94" t="n">
        <f aca="false">F23</f>
        <v>43252</v>
      </c>
      <c r="G59" s="93" t="n">
        <f aca="false">G23</f>
        <v>43282</v>
      </c>
      <c r="H59" s="94" t="n">
        <f aca="false">H23</f>
        <v>43313</v>
      </c>
      <c r="I59" s="93" t="n">
        <f aca="false">I23</f>
        <v>43344</v>
      </c>
      <c r="J59" s="94" t="n">
        <f aca="false">J23</f>
        <v>43374</v>
      </c>
      <c r="K59" s="93" t="n">
        <f aca="false">K23</f>
        <v>43405</v>
      </c>
      <c r="L59" s="94" t="n">
        <f aca="false">L23</f>
        <v>43435</v>
      </c>
      <c r="M59" s="93" t="n">
        <f aca="false">M23</f>
        <v>43466</v>
      </c>
      <c r="N59" s="94" t="n">
        <f aca="false">N23</f>
        <v>43497</v>
      </c>
      <c r="O59" s="93" t="n">
        <f aca="false">O23</f>
        <v>43525</v>
      </c>
    </row>
    <row r="60" customFormat="false" ht="14.1" hidden="false" customHeight="true" outlineLevel="0" collapsed="false">
      <c r="B60" s="178" t="s">
        <v>136</v>
      </c>
      <c r="C60" s="179"/>
      <c r="D60" s="117" t="s">
        <v>108</v>
      </c>
      <c r="E60" s="117" t="s">
        <v>108</v>
      </c>
      <c r="F60" s="117" t="s">
        <v>108</v>
      </c>
      <c r="G60" s="117" t="s">
        <v>108</v>
      </c>
      <c r="H60" s="117" t="s">
        <v>108</v>
      </c>
      <c r="I60" s="117" t="s">
        <v>108</v>
      </c>
      <c r="J60" s="117" t="s">
        <v>108</v>
      </c>
      <c r="K60" s="117" t="s">
        <v>108</v>
      </c>
      <c r="L60" s="117" t="s">
        <v>108</v>
      </c>
      <c r="M60" s="117" t="s">
        <v>108</v>
      </c>
      <c r="N60" s="117" t="s">
        <v>108</v>
      </c>
      <c r="O60" s="117" t="s">
        <v>108</v>
      </c>
    </row>
    <row r="61" customFormat="false" ht="14.1" hidden="false" customHeight="true" outlineLevel="0" collapsed="false">
      <c r="B61" s="180" t="s">
        <v>137</v>
      </c>
      <c r="C61" s="179"/>
      <c r="D61" s="94" t="n">
        <f aca="false">D25</f>
        <v>43221</v>
      </c>
      <c r="E61" s="93" t="n">
        <f aca="false">E25</f>
        <v>43252</v>
      </c>
      <c r="F61" s="94" t="n">
        <f aca="false">F25</f>
        <v>43282</v>
      </c>
      <c r="G61" s="93" t="n">
        <f aca="false">G25</f>
        <v>43313</v>
      </c>
      <c r="H61" s="94" t="n">
        <f aca="false">H25</f>
        <v>43344</v>
      </c>
      <c r="I61" s="93" t="n">
        <f aca="false">I25</f>
        <v>43374</v>
      </c>
      <c r="J61" s="94" t="n">
        <f aca="false">J25</f>
        <v>43405</v>
      </c>
      <c r="K61" s="93" t="n">
        <f aca="false">K25</f>
        <v>43435</v>
      </c>
      <c r="L61" s="94" t="n">
        <f aca="false">L25</f>
        <v>43466</v>
      </c>
      <c r="M61" s="93" t="n">
        <f aca="false">M25</f>
        <v>43497</v>
      </c>
      <c r="N61" s="94" t="n">
        <f aca="false">N25</f>
        <v>43525</v>
      </c>
      <c r="O61" s="93" t="n">
        <f aca="false">O25</f>
        <v>43556</v>
      </c>
    </row>
    <row r="62" customFormat="false" ht="14.1" hidden="false" customHeight="true" outlineLevel="0" collapsed="false">
      <c r="B62" s="181" t="s">
        <v>138</v>
      </c>
      <c r="C62" s="182" t="s">
        <v>139</v>
      </c>
      <c r="D62" s="183" t="n">
        <v>125</v>
      </c>
      <c r="E62" s="183" t="n">
        <v>0</v>
      </c>
      <c r="F62" s="183" t="n">
        <v>0</v>
      </c>
      <c r="G62" s="183" t="n">
        <v>60</v>
      </c>
      <c r="H62" s="183" t="n">
        <v>250</v>
      </c>
      <c r="I62" s="183" t="n">
        <v>250</v>
      </c>
      <c r="J62" s="183" t="n">
        <v>250</v>
      </c>
      <c r="K62" s="183" t="n">
        <v>250</v>
      </c>
      <c r="L62" s="183" t="n">
        <v>250</v>
      </c>
      <c r="M62" s="183" t="n">
        <v>250</v>
      </c>
      <c r="N62" s="183" t="n">
        <v>250</v>
      </c>
      <c r="O62" s="183" t="n">
        <v>200</v>
      </c>
    </row>
    <row r="63" customFormat="false" ht="14.1" hidden="false" customHeight="true" outlineLevel="0" collapsed="false">
      <c r="B63" s="184"/>
      <c r="C63" s="185" t="s">
        <v>140</v>
      </c>
      <c r="D63" s="186" t="n">
        <v>17</v>
      </c>
      <c r="E63" s="186" t="n">
        <v>0</v>
      </c>
      <c r="F63" s="186" t="n">
        <v>0</v>
      </c>
      <c r="G63" s="186" t="n">
        <v>12</v>
      </c>
      <c r="H63" s="186" t="n">
        <v>18</v>
      </c>
      <c r="I63" s="186" t="n">
        <v>18</v>
      </c>
      <c r="J63" s="186" t="n">
        <v>16</v>
      </c>
      <c r="K63" s="186" t="n">
        <v>16</v>
      </c>
      <c r="L63" s="186" t="n">
        <v>16</v>
      </c>
      <c r="M63" s="186" t="n">
        <v>16</v>
      </c>
      <c r="N63" s="186" t="n">
        <v>16</v>
      </c>
      <c r="O63" s="186" t="n">
        <v>16</v>
      </c>
    </row>
    <row r="64" customFormat="false" ht="14.1" hidden="false" customHeight="true" outlineLevel="0" collapsed="false">
      <c r="B64" s="67"/>
      <c r="C64" s="187"/>
      <c r="D64" s="188"/>
      <c r="E64" s="188"/>
      <c r="F64" s="188"/>
      <c r="G64" s="188"/>
      <c r="H64" s="188"/>
      <c r="I64" s="188"/>
      <c r="J64" s="188"/>
      <c r="K64" s="188"/>
      <c r="L64" s="188"/>
      <c r="M64" s="188"/>
      <c r="N64" s="189"/>
      <c r="O64" s="189"/>
    </row>
    <row r="65" customFormat="false" ht="14.1" hidden="false" customHeight="true" outlineLevel="0" collapsed="false">
      <c r="B65" s="181" t="s">
        <v>141</v>
      </c>
      <c r="C65" s="190"/>
      <c r="D65" s="183" t="n">
        <v>0</v>
      </c>
      <c r="E65" s="183" t="n">
        <v>0</v>
      </c>
      <c r="F65" s="183" t="n">
        <v>0</v>
      </c>
      <c r="G65" s="183" t="n">
        <v>0</v>
      </c>
      <c r="H65" s="183" t="n">
        <v>0</v>
      </c>
      <c r="I65" s="183" t="n">
        <v>0</v>
      </c>
      <c r="J65" s="183" t="n">
        <v>0</v>
      </c>
      <c r="K65" s="183" t="n">
        <v>0</v>
      </c>
      <c r="L65" s="183" t="n">
        <v>0</v>
      </c>
      <c r="M65" s="183" t="n">
        <v>0</v>
      </c>
      <c r="N65" s="183" t="n">
        <v>0</v>
      </c>
      <c r="O65" s="183" t="n">
        <v>0</v>
      </c>
    </row>
    <row r="66" customFormat="false" ht="14.1" hidden="false" customHeight="true" outlineLevel="0" collapsed="false">
      <c r="B66" s="184"/>
      <c r="C66" s="184"/>
      <c r="D66" s="186" t="n">
        <v>0</v>
      </c>
      <c r="E66" s="186" t="n">
        <v>0</v>
      </c>
      <c r="F66" s="186" t="n">
        <v>0</v>
      </c>
      <c r="G66" s="186" t="n">
        <v>0</v>
      </c>
      <c r="H66" s="186" t="n">
        <v>0</v>
      </c>
      <c r="I66" s="186" t="n">
        <v>0</v>
      </c>
      <c r="J66" s="186" t="n">
        <v>0</v>
      </c>
      <c r="K66" s="186" t="n">
        <v>0</v>
      </c>
      <c r="L66" s="186" t="n">
        <v>0</v>
      </c>
      <c r="M66" s="186" t="n">
        <v>0</v>
      </c>
      <c r="N66" s="186" t="n">
        <v>0</v>
      </c>
      <c r="O66" s="186" t="n">
        <v>0</v>
      </c>
    </row>
    <row r="67" s="52" customFormat="true" ht="14.1" hidden="false" customHeight="true" outlineLevel="0" collapsed="false">
      <c r="B67" s="67"/>
      <c r="C67" s="67"/>
      <c r="D67" s="191"/>
      <c r="E67" s="191"/>
      <c r="F67" s="191"/>
      <c r="G67" s="191"/>
      <c r="H67" s="191"/>
      <c r="I67" s="191"/>
      <c r="J67" s="191"/>
      <c r="K67" s="191"/>
      <c r="L67" s="191"/>
      <c r="M67" s="191"/>
      <c r="N67" s="191"/>
      <c r="O67" s="191"/>
    </row>
    <row r="68" customFormat="false" ht="14.1" hidden="false" customHeight="true" outlineLevel="0" collapsed="false">
      <c r="B68" s="181" t="s">
        <v>142</v>
      </c>
      <c r="C68" s="190"/>
      <c r="D68" s="183" t="n">
        <v>0</v>
      </c>
      <c r="E68" s="183" t="n">
        <v>70</v>
      </c>
      <c r="F68" s="183" t="n">
        <v>100</v>
      </c>
      <c r="G68" s="183" t="n">
        <v>190</v>
      </c>
      <c r="H68" s="183" t="n">
        <v>0</v>
      </c>
      <c r="I68" s="183" t="n">
        <v>0</v>
      </c>
      <c r="J68" s="183" t="n">
        <v>0</v>
      </c>
      <c r="K68" s="183" t="n">
        <v>0</v>
      </c>
      <c r="L68" s="183" t="n">
        <v>0</v>
      </c>
      <c r="M68" s="183" t="n">
        <v>0</v>
      </c>
      <c r="N68" s="183" t="n">
        <v>0</v>
      </c>
      <c r="O68" s="183" t="n">
        <v>0</v>
      </c>
    </row>
    <row r="69" s="52" customFormat="true" ht="14.1" hidden="false" customHeight="true" outlineLevel="0" collapsed="false">
      <c r="B69" s="184"/>
      <c r="C69" s="184"/>
      <c r="D69" s="186" t="n">
        <v>0</v>
      </c>
      <c r="E69" s="186" t="n">
        <v>7</v>
      </c>
      <c r="F69" s="186" t="n">
        <v>8</v>
      </c>
      <c r="G69" s="186" t="n">
        <v>9</v>
      </c>
      <c r="H69" s="186" t="n">
        <v>0</v>
      </c>
      <c r="I69" s="186" t="n">
        <v>0</v>
      </c>
      <c r="J69" s="186" t="n">
        <v>0</v>
      </c>
      <c r="K69" s="186" t="n">
        <v>0</v>
      </c>
      <c r="L69" s="186" t="n">
        <v>0</v>
      </c>
      <c r="M69" s="186" t="n">
        <v>0</v>
      </c>
      <c r="N69" s="186" t="n">
        <v>0</v>
      </c>
      <c r="O69" s="186" t="n">
        <v>0</v>
      </c>
    </row>
    <row r="70" s="52" customFormat="true" ht="14.1" hidden="false" customHeight="true" outlineLevel="0" collapsed="false">
      <c r="B70" s="67"/>
      <c r="C70" s="67"/>
      <c r="D70" s="191"/>
      <c r="E70" s="191"/>
      <c r="F70" s="191"/>
      <c r="G70" s="191"/>
      <c r="H70" s="191"/>
      <c r="I70" s="191"/>
      <c r="J70" s="191"/>
      <c r="K70" s="191"/>
      <c r="L70" s="191"/>
      <c r="M70" s="191"/>
      <c r="N70" s="191"/>
      <c r="O70" s="191"/>
    </row>
    <row r="71" s="52" customFormat="true" ht="14.1" hidden="false" customHeight="true" outlineLevel="0" collapsed="false">
      <c r="B71" s="181" t="s">
        <v>143</v>
      </c>
      <c r="C71" s="190"/>
      <c r="D71" s="183" t="n">
        <v>125</v>
      </c>
      <c r="E71" s="183" t="n">
        <v>180</v>
      </c>
      <c r="F71" s="183" t="n">
        <v>100</v>
      </c>
      <c r="G71" s="183" t="n">
        <v>0</v>
      </c>
      <c r="H71" s="183" t="n">
        <v>0</v>
      </c>
      <c r="I71" s="183" t="n">
        <v>0</v>
      </c>
      <c r="J71" s="183" t="n">
        <v>0</v>
      </c>
      <c r="K71" s="183" t="n">
        <v>0</v>
      </c>
      <c r="L71" s="183" t="n">
        <v>0</v>
      </c>
      <c r="M71" s="183" t="n">
        <v>0</v>
      </c>
      <c r="N71" s="183" t="n">
        <v>0</v>
      </c>
      <c r="O71" s="183" t="n">
        <v>50</v>
      </c>
    </row>
    <row r="72" s="52" customFormat="true" ht="14.1" hidden="false" customHeight="true" outlineLevel="0" collapsed="false">
      <c r="B72" s="184"/>
      <c r="C72" s="184"/>
      <c r="D72" s="186" t="n">
        <v>8</v>
      </c>
      <c r="E72" s="186" t="n">
        <v>9</v>
      </c>
      <c r="F72" s="186" t="n">
        <v>9</v>
      </c>
      <c r="G72" s="186" t="n">
        <v>0</v>
      </c>
      <c r="H72" s="186" t="n">
        <v>0</v>
      </c>
      <c r="I72" s="186" t="n">
        <v>0</v>
      </c>
      <c r="J72" s="186" t="n">
        <v>0</v>
      </c>
      <c r="K72" s="186" t="n">
        <v>0</v>
      </c>
      <c r="L72" s="186" t="n">
        <v>0</v>
      </c>
      <c r="M72" s="186" t="n">
        <v>0</v>
      </c>
      <c r="N72" s="186" t="n">
        <v>0</v>
      </c>
      <c r="O72" s="186" t="n">
        <v>9</v>
      </c>
    </row>
    <row r="73" s="52" customFormat="true" ht="14.1" hidden="false" customHeight="true" outlineLevel="0" collapsed="false">
      <c r="B73" s="67"/>
      <c r="C73" s="67"/>
      <c r="D73" s="191"/>
      <c r="E73" s="191"/>
      <c r="F73" s="191"/>
      <c r="G73" s="191"/>
      <c r="H73" s="191"/>
      <c r="I73" s="191"/>
      <c r="J73" s="191"/>
      <c r="K73" s="191"/>
      <c r="L73" s="191"/>
      <c r="M73" s="191"/>
      <c r="N73" s="191"/>
      <c r="O73" s="191"/>
    </row>
    <row r="74" customFormat="false" ht="14.1" hidden="false" customHeight="true" outlineLevel="0" collapsed="false">
      <c r="B74" s="181" t="s">
        <v>144</v>
      </c>
      <c r="C74" s="190"/>
      <c r="D74" s="183" t="n">
        <v>50</v>
      </c>
      <c r="E74" s="183" t="n">
        <v>50</v>
      </c>
      <c r="F74" s="183" t="n">
        <v>50</v>
      </c>
      <c r="G74" s="183" t="n">
        <v>50</v>
      </c>
      <c r="H74" s="183" t="n">
        <v>50</v>
      </c>
      <c r="I74" s="183" t="n">
        <v>50</v>
      </c>
      <c r="J74" s="183" t="n">
        <v>50</v>
      </c>
      <c r="K74" s="183" t="n">
        <v>50</v>
      </c>
      <c r="L74" s="183" t="n">
        <v>50</v>
      </c>
      <c r="M74" s="183" t="n">
        <v>50</v>
      </c>
      <c r="N74" s="183" t="n">
        <v>50</v>
      </c>
      <c r="O74" s="183" t="n">
        <v>50</v>
      </c>
    </row>
    <row r="75" customFormat="false" ht="14.1" hidden="false" customHeight="true" outlineLevel="0" collapsed="false">
      <c r="B75" s="184"/>
      <c r="C75" s="184"/>
      <c r="D75" s="186" t="n">
        <v>5</v>
      </c>
      <c r="E75" s="186" t="n">
        <v>5</v>
      </c>
      <c r="F75" s="186" t="n">
        <v>5</v>
      </c>
      <c r="G75" s="186" t="n">
        <v>7</v>
      </c>
      <c r="H75" s="186" t="n">
        <v>7</v>
      </c>
      <c r="I75" s="186" t="n">
        <v>6</v>
      </c>
      <c r="J75" s="186" t="n">
        <v>7</v>
      </c>
      <c r="K75" s="186" t="n">
        <v>7</v>
      </c>
      <c r="L75" s="186" t="n">
        <v>7</v>
      </c>
      <c r="M75" s="186" t="n">
        <v>7</v>
      </c>
      <c r="N75" s="186" t="n">
        <v>7</v>
      </c>
      <c r="O75" s="186" t="n">
        <v>7</v>
      </c>
    </row>
    <row r="76" s="52" customFormat="true" ht="14.1" hidden="false" customHeight="true" outlineLevel="0" collapsed="false">
      <c r="B76" s="67"/>
      <c r="C76" s="67"/>
      <c r="D76" s="191"/>
      <c r="E76" s="191"/>
      <c r="F76" s="191"/>
      <c r="G76" s="191"/>
      <c r="H76" s="191"/>
      <c r="I76" s="191"/>
      <c r="J76" s="191"/>
      <c r="K76" s="191"/>
      <c r="L76" s="191"/>
      <c r="M76" s="191"/>
      <c r="N76" s="191"/>
      <c r="O76" s="191"/>
    </row>
    <row r="77" customFormat="false" ht="14.1" hidden="false" customHeight="true" outlineLevel="0" collapsed="false">
      <c r="B77" s="181" t="s">
        <v>145</v>
      </c>
      <c r="C77" s="190"/>
      <c r="D77" s="183" t="n">
        <v>50</v>
      </c>
      <c r="E77" s="183" t="n">
        <v>50</v>
      </c>
      <c r="F77" s="183" t="n">
        <v>50</v>
      </c>
      <c r="G77" s="183" t="n">
        <v>0</v>
      </c>
      <c r="H77" s="183" t="n">
        <v>25</v>
      </c>
      <c r="I77" s="183" t="n">
        <v>50</v>
      </c>
      <c r="J77" s="183" t="n">
        <v>50</v>
      </c>
      <c r="K77" s="183" t="n">
        <v>50</v>
      </c>
      <c r="L77" s="183" t="n">
        <v>50</v>
      </c>
      <c r="M77" s="183" t="n">
        <v>50</v>
      </c>
      <c r="N77" s="183" t="n">
        <v>50</v>
      </c>
      <c r="O77" s="183" t="n">
        <v>50</v>
      </c>
    </row>
    <row r="78" customFormat="false" ht="14.1" hidden="false" customHeight="true" outlineLevel="0" collapsed="false">
      <c r="B78" s="184"/>
      <c r="C78" s="184"/>
      <c r="D78" s="186" t="n">
        <v>4</v>
      </c>
      <c r="E78" s="186" t="n">
        <v>4</v>
      </c>
      <c r="F78" s="186" t="n">
        <v>4</v>
      </c>
      <c r="G78" s="186" t="n">
        <v>0</v>
      </c>
      <c r="H78" s="186" t="n">
        <v>3</v>
      </c>
      <c r="I78" s="186" t="n">
        <v>3</v>
      </c>
      <c r="J78" s="186" t="n">
        <v>4</v>
      </c>
      <c r="K78" s="186" t="n">
        <v>4</v>
      </c>
      <c r="L78" s="186" t="n">
        <v>4</v>
      </c>
      <c r="M78" s="186" t="n">
        <v>4</v>
      </c>
      <c r="N78" s="186" t="n">
        <v>4</v>
      </c>
      <c r="O78" s="186" t="n">
        <v>4</v>
      </c>
    </row>
    <row r="79" s="52" customFormat="true" ht="14.1" hidden="false" customHeight="true" outlineLevel="0" collapsed="false">
      <c r="B79" s="67"/>
      <c r="C79" s="67"/>
      <c r="D79" s="191"/>
      <c r="E79" s="191"/>
      <c r="F79" s="191"/>
      <c r="G79" s="191"/>
      <c r="H79" s="191"/>
      <c r="I79" s="191"/>
      <c r="J79" s="191"/>
      <c r="K79" s="191"/>
      <c r="L79" s="191"/>
      <c r="M79" s="191"/>
      <c r="N79" s="191"/>
      <c r="O79" s="191"/>
    </row>
    <row r="80" customFormat="false" ht="14.1" hidden="false" customHeight="true" outlineLevel="0" collapsed="false">
      <c r="B80" s="181" t="s">
        <v>146</v>
      </c>
      <c r="C80" s="190"/>
      <c r="D80" s="183" t="n">
        <v>0</v>
      </c>
      <c r="E80" s="183" t="n">
        <v>0</v>
      </c>
      <c r="F80" s="183" t="n">
        <v>0</v>
      </c>
      <c r="G80" s="183" t="n">
        <v>0</v>
      </c>
      <c r="H80" s="183" t="n">
        <v>0</v>
      </c>
      <c r="I80" s="183" t="n">
        <v>0</v>
      </c>
      <c r="J80" s="183" t="n">
        <v>0</v>
      </c>
      <c r="K80" s="183" t="n">
        <v>0</v>
      </c>
      <c r="L80" s="183" t="n">
        <v>0</v>
      </c>
      <c r="M80" s="183" t="n">
        <v>0</v>
      </c>
      <c r="N80" s="183" t="n">
        <v>0</v>
      </c>
      <c r="O80" s="183" t="n">
        <v>0</v>
      </c>
    </row>
    <row r="81" customFormat="false" ht="14.1" hidden="false" customHeight="true" outlineLevel="0" collapsed="false">
      <c r="B81" s="184"/>
      <c r="C81" s="184"/>
      <c r="D81" s="186" t="n">
        <v>0</v>
      </c>
      <c r="E81" s="186" t="n">
        <v>0</v>
      </c>
      <c r="F81" s="186" t="n">
        <v>0</v>
      </c>
      <c r="G81" s="186" t="n">
        <v>0</v>
      </c>
      <c r="H81" s="186" t="n">
        <v>0</v>
      </c>
      <c r="I81" s="186" t="n">
        <v>0</v>
      </c>
      <c r="J81" s="186" t="n">
        <v>0</v>
      </c>
      <c r="K81" s="186" t="n">
        <v>0</v>
      </c>
      <c r="L81" s="186" t="n">
        <v>0</v>
      </c>
      <c r="M81" s="186" t="n">
        <v>0</v>
      </c>
      <c r="N81" s="186" t="n">
        <v>0</v>
      </c>
      <c r="O81" s="186" t="n">
        <v>0</v>
      </c>
    </row>
    <row r="82" s="52" customFormat="true" ht="14.1" hidden="false" customHeight="true" outlineLevel="0" collapsed="false">
      <c r="B82" s="67"/>
      <c r="C82" s="67"/>
      <c r="D82" s="191"/>
      <c r="E82" s="191"/>
      <c r="F82" s="191"/>
      <c r="G82" s="191"/>
      <c r="H82" s="191"/>
      <c r="I82" s="191"/>
      <c r="J82" s="191"/>
      <c r="K82" s="191"/>
      <c r="L82" s="191"/>
      <c r="M82" s="191"/>
      <c r="N82" s="191"/>
      <c r="O82" s="191"/>
    </row>
    <row r="83" customFormat="false" ht="14.1" hidden="false" customHeight="true" outlineLevel="0" collapsed="false">
      <c r="B83" s="192" t="s">
        <v>147</v>
      </c>
      <c r="C83" s="190"/>
      <c r="D83" s="183" t="n">
        <v>0</v>
      </c>
      <c r="E83" s="183" t="n">
        <v>0</v>
      </c>
      <c r="F83" s="183" t="n">
        <v>0</v>
      </c>
      <c r="G83" s="183" t="n">
        <v>0</v>
      </c>
      <c r="H83" s="183" t="n">
        <v>0</v>
      </c>
      <c r="I83" s="183" t="n">
        <v>0</v>
      </c>
      <c r="J83" s="183" t="n">
        <v>0</v>
      </c>
      <c r="K83" s="183" t="n">
        <v>0</v>
      </c>
      <c r="L83" s="183" t="n">
        <v>0</v>
      </c>
      <c r="M83" s="183" t="n">
        <v>0</v>
      </c>
      <c r="N83" s="183" t="n">
        <v>0</v>
      </c>
      <c r="O83" s="183" t="n">
        <v>0</v>
      </c>
    </row>
    <row r="84" customFormat="false" ht="14.1" hidden="false" customHeight="true" outlineLevel="0" collapsed="false">
      <c r="B84" s="184"/>
      <c r="C84" s="184"/>
      <c r="D84" s="186" t="n">
        <v>0</v>
      </c>
      <c r="E84" s="186" t="n">
        <v>0</v>
      </c>
      <c r="F84" s="186" t="n">
        <v>0</v>
      </c>
      <c r="G84" s="186" t="n">
        <v>0</v>
      </c>
      <c r="H84" s="186" t="n">
        <v>0</v>
      </c>
      <c r="I84" s="186" t="n">
        <v>0</v>
      </c>
      <c r="J84" s="186" t="n">
        <v>0</v>
      </c>
      <c r="K84" s="186" t="n">
        <v>0</v>
      </c>
      <c r="L84" s="186" t="n">
        <v>0</v>
      </c>
      <c r="M84" s="186" t="n">
        <v>0</v>
      </c>
      <c r="N84" s="186" t="n">
        <v>0</v>
      </c>
      <c r="O84" s="186" t="n">
        <v>0</v>
      </c>
    </row>
    <row r="85" s="52" customFormat="true" ht="14.1" hidden="false" customHeight="true" outlineLevel="0" collapsed="false">
      <c r="B85" s="67"/>
      <c r="C85" s="67"/>
      <c r="D85" s="191"/>
      <c r="E85" s="191"/>
      <c r="F85" s="191"/>
      <c r="G85" s="191"/>
      <c r="H85" s="191"/>
      <c r="I85" s="191"/>
      <c r="J85" s="191"/>
      <c r="K85" s="191"/>
      <c r="L85" s="191"/>
      <c r="M85" s="191"/>
      <c r="N85" s="191"/>
      <c r="O85" s="191"/>
    </row>
    <row r="86" customFormat="false" ht="14.1" hidden="false" customHeight="true" outlineLevel="0" collapsed="false">
      <c r="B86" s="181" t="s">
        <v>148</v>
      </c>
      <c r="C86" s="190"/>
      <c r="D86" s="183" t="n">
        <v>0</v>
      </c>
      <c r="E86" s="183" t="n">
        <v>0</v>
      </c>
      <c r="F86" s="183" t="n">
        <v>0</v>
      </c>
      <c r="G86" s="183" t="n">
        <v>0</v>
      </c>
      <c r="H86" s="183" t="n">
        <v>0</v>
      </c>
      <c r="I86" s="183" t="n">
        <v>0</v>
      </c>
      <c r="J86" s="183" t="n">
        <v>0</v>
      </c>
      <c r="K86" s="183" t="n">
        <v>0</v>
      </c>
      <c r="L86" s="183" t="n">
        <v>0</v>
      </c>
      <c r="M86" s="183" t="n">
        <v>0</v>
      </c>
      <c r="N86" s="183" t="n">
        <v>0</v>
      </c>
      <c r="O86" s="183" t="n">
        <v>0</v>
      </c>
    </row>
    <row r="87" customFormat="false" ht="14.1" hidden="false" customHeight="true" outlineLevel="0" collapsed="false">
      <c r="B87" s="184"/>
      <c r="C87" s="184"/>
      <c r="D87" s="186" t="n">
        <v>0</v>
      </c>
      <c r="E87" s="186" t="n">
        <v>0</v>
      </c>
      <c r="F87" s="186" t="n">
        <v>0</v>
      </c>
      <c r="G87" s="186" t="n">
        <v>0</v>
      </c>
      <c r="H87" s="186" t="n">
        <v>0</v>
      </c>
      <c r="I87" s="186" t="n">
        <v>0</v>
      </c>
      <c r="J87" s="186" t="n">
        <v>0</v>
      </c>
      <c r="K87" s="186" t="n">
        <v>0</v>
      </c>
      <c r="L87" s="186" t="n">
        <v>0</v>
      </c>
      <c r="M87" s="186" t="n">
        <v>0</v>
      </c>
      <c r="N87" s="186" t="n">
        <v>0</v>
      </c>
      <c r="O87" s="186" t="n">
        <v>0</v>
      </c>
    </row>
    <row r="88" s="52" customFormat="true" ht="14.1" hidden="false" customHeight="true" outlineLevel="0" collapsed="false">
      <c r="B88" s="67"/>
      <c r="C88" s="67"/>
      <c r="D88" s="191"/>
      <c r="E88" s="191"/>
      <c r="F88" s="191"/>
      <c r="G88" s="191"/>
      <c r="H88" s="191"/>
      <c r="I88" s="191"/>
      <c r="J88" s="191"/>
      <c r="K88" s="191"/>
      <c r="L88" s="191"/>
      <c r="M88" s="191"/>
      <c r="N88" s="191"/>
      <c r="O88" s="191"/>
    </row>
    <row r="89" customFormat="false" ht="14.1" hidden="false" customHeight="true" outlineLevel="0" collapsed="false">
      <c r="B89" s="181" t="s">
        <v>149</v>
      </c>
      <c r="C89" s="190"/>
      <c r="D89" s="183" t="n">
        <v>0</v>
      </c>
      <c r="E89" s="183" t="n">
        <v>0</v>
      </c>
      <c r="F89" s="183" t="n">
        <v>0</v>
      </c>
      <c r="G89" s="183" t="n">
        <v>0</v>
      </c>
      <c r="H89" s="183" t="n">
        <v>0</v>
      </c>
      <c r="I89" s="183" t="n">
        <v>0</v>
      </c>
      <c r="J89" s="183" t="n">
        <v>0</v>
      </c>
      <c r="K89" s="183" t="n">
        <v>0</v>
      </c>
      <c r="L89" s="183" t="n">
        <v>0</v>
      </c>
      <c r="M89" s="183" t="n">
        <v>0</v>
      </c>
      <c r="N89" s="183" t="n">
        <v>0</v>
      </c>
      <c r="O89" s="183" t="n">
        <v>0</v>
      </c>
    </row>
    <row r="90" customFormat="false" ht="14.1" hidden="false" customHeight="true" outlineLevel="0" collapsed="false">
      <c r="B90" s="184"/>
      <c r="C90" s="184"/>
      <c r="D90" s="186" t="n">
        <v>0</v>
      </c>
      <c r="E90" s="193" t="n">
        <v>0</v>
      </c>
      <c r="F90" s="193" t="n">
        <v>0</v>
      </c>
      <c r="G90" s="193" t="n">
        <v>0</v>
      </c>
      <c r="H90" s="193" t="n">
        <v>0</v>
      </c>
      <c r="I90" s="193" t="n">
        <v>0</v>
      </c>
      <c r="J90" s="193" t="n">
        <v>0</v>
      </c>
      <c r="K90" s="193" t="n">
        <v>0</v>
      </c>
      <c r="L90" s="193" t="n">
        <v>0</v>
      </c>
      <c r="M90" s="186" t="n">
        <v>0</v>
      </c>
      <c r="N90" s="193" t="n">
        <v>0</v>
      </c>
      <c r="O90" s="193" t="n">
        <v>0</v>
      </c>
    </row>
    <row r="91" customFormat="false" ht="14.65" hidden="false" customHeight="false" outlineLevel="0" collapsed="false">
      <c r="B91" s="52"/>
      <c r="C91" s="103" t="s">
        <v>150</v>
      </c>
      <c r="D91" s="194" t="n">
        <f aca="false">D62+D65+D68+D71+D74+D77+D80+D83+D86+D89</f>
        <v>350</v>
      </c>
      <c r="E91" s="194" t="n">
        <f aca="false">E62+E65+E68+E71+E74+E77+E80+E83+E86+E89</f>
        <v>350</v>
      </c>
      <c r="F91" s="194" t="n">
        <f aca="false">F62+F65+F68+F71+F74+F77+F80+F83+F86+F89</f>
        <v>300</v>
      </c>
      <c r="G91" s="194" t="n">
        <f aca="false">G62+G65+G68+G71+G74+G77+G80+G83+G86+G89</f>
        <v>300</v>
      </c>
      <c r="H91" s="194" t="n">
        <f aca="false">H62+H65+H68+H71+H74+H77+H80+H83+H86+H89</f>
        <v>325</v>
      </c>
      <c r="I91" s="194" t="n">
        <f aca="false">I62+I65+I68+I71+I74+I77+I80+I83+I86+I89</f>
        <v>350</v>
      </c>
      <c r="J91" s="194" t="n">
        <f aca="false">J62+J65+J68+J71+J74+J77+J80+J83+J86+J89</f>
        <v>350</v>
      </c>
      <c r="K91" s="194" t="n">
        <f aca="false">K62+K65+K68+K71+K74+K77+K80+K83+K86+K89</f>
        <v>350</v>
      </c>
      <c r="L91" s="194" t="n">
        <f aca="false">L62+L65+L68+L71+L74+L77+L80+L83+L86+L89</f>
        <v>350</v>
      </c>
      <c r="M91" s="194" t="n">
        <f aca="false">M62+M65+M68+M71+M74+M77+M80+M83+M86+M89</f>
        <v>350</v>
      </c>
      <c r="N91" s="194" t="n">
        <f aca="false">N62+N65+N68+N71+N74+N77+N80+N83+N86+N89</f>
        <v>350</v>
      </c>
      <c r="O91" s="194" t="n">
        <f aca="false">O62+O65+O68+O71+O74+O77+O80+O83+O86+O89</f>
        <v>350</v>
      </c>
    </row>
    <row r="92" customFormat="false" ht="14.1" hidden="false" customHeight="true" outlineLevel="0" collapsed="false">
      <c r="J92" s="52"/>
      <c r="K92" s="195"/>
    </row>
    <row r="93" customFormat="false" ht="14.1" hidden="false" customHeight="true" outlineLevel="0" collapsed="false"/>
    <row r="94" customFormat="false" ht="14.1" hidden="false" customHeight="true" outlineLevel="0" collapsed="false"/>
    <row r="95" customFormat="false" ht="14.1" hidden="false" customHeight="true" outlineLevel="0" collapsed="false"/>
    <row r="96" customFormat="false" ht="14.1" hidden="false" customHeight="true" outlineLevel="0" collapsed="false"/>
    <row r="97" customFormat="false" ht="14.1" hidden="false" customHeight="true" outlineLevel="0" collapsed="false"/>
    <row r="98" customFormat="false" ht="14.1" hidden="false" customHeight="true" outlineLevel="0" collapsed="false"/>
    <row r="99" customFormat="false" ht="14.1" hidden="false" customHeight="true" outlineLevel="0" collapsed="false"/>
    <row r="100" s="196" customFormat="true" ht="14.1" hidden="false" customHeight="true" outlineLevel="0" collapsed="false">
      <c r="E100" s="196" t="n">
        <v>0</v>
      </c>
      <c r="K100" s="196" t="n">
        <v>0</v>
      </c>
      <c r="L100" s="196" t="n">
        <v>0</v>
      </c>
    </row>
    <row r="101" customFormat="false" ht="14.1" hidden="false" customHeight="true" outlineLevel="0" collapsed="false"/>
    <row r="102" customFormat="false" ht="14.1" hidden="false" customHeight="tru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sheetProtection sheet="true" objects="true" scenarios="true" selectLockedCells="true"/>
  <printOptions headings="false" gridLines="false" gridLinesSet="true" horizontalCentered="false" verticalCentered="false"/>
  <pageMargins left="0.7875" right="0.7875" top="1.025" bottom="1.025" header="0.7875" footer="0.7875"/>
  <pageSetup paperSize="9" scale="65" firstPageNumber="0" fitToWidth="1" fitToHeight="1" pageOrder="downThenOver" orientation="landscape" blackAndWhite="false" draft="false" cellComments="none" useFirstPageNumber="false" horizontalDpi="300" verticalDpi="300" copies="1"/>
  <headerFooter differentFirst="false" differentOddEven="false">
    <oddHeader>&amp;C&amp;"Arial,Regular"&amp;A</oddHeader>
    <oddFooter>&amp;C&amp;"Arial,Regular"Page &amp;P</oddFooter>
  </headerFooter>
  <drawing r:id="rId1"/>
</worksheet>
</file>

<file path=xl/worksheets/sheet4.xml><?xml version="1.0" encoding="utf-8"?>
<worksheet xmlns="http://schemas.openxmlformats.org/spreadsheetml/2006/main" xmlns:r="http://schemas.openxmlformats.org/officeDocument/2006/relationships">
  <sheetPr filterMode="false">
    <pageSetUpPr fitToPage="false"/>
  </sheetPr>
  <dimension ref="A1:AD49"/>
  <sheetViews>
    <sheetView showFormulas="false" showGridLines="false" showRowColHeaders="true" showZeros="true" rightToLeft="false" tabSelected="false" showOutlineSymbols="true" defaultGridColor="true" view="normal" topLeftCell="A1" colorId="64" zoomScale="110" zoomScaleNormal="110" zoomScalePageLayoutView="100" workbookViewId="0">
      <selection pane="topLeft" activeCell="B2" activeCellId="0" sqref="B2"/>
    </sheetView>
  </sheetViews>
  <sheetFormatPr defaultRowHeight="14.65" zeroHeight="false" outlineLevelRow="0" outlineLevelCol="0"/>
  <cols>
    <col collapsed="false" customWidth="true" hidden="false" outlineLevel="0" max="1" min="1" style="42" width="4.08"/>
    <col collapsed="false" customWidth="true" hidden="false" outlineLevel="0" max="2" min="2" style="42" width="30.91"/>
    <col collapsed="false" customWidth="true" hidden="false" outlineLevel="0" max="3" min="3" style="42" width="9.88"/>
    <col collapsed="false" customWidth="true" hidden="false" outlineLevel="0" max="4" min="4" style="42" width="10.51"/>
    <col collapsed="false" customWidth="true" hidden="false" outlineLevel="0" max="5" min="5" style="42" width="12.08"/>
    <col collapsed="false" customWidth="true" hidden="false" outlineLevel="0" max="6" min="6" style="42" width="11.76"/>
    <col collapsed="false" customWidth="true" hidden="false" outlineLevel="0" max="7" min="7" style="42" width="10.2"/>
    <col collapsed="false" customWidth="true" hidden="false" outlineLevel="0" max="8" min="8" style="42" width="5.1"/>
    <col collapsed="false" customWidth="true" hidden="false" outlineLevel="0" max="9" min="9" style="42" width="10.2"/>
    <col collapsed="false" customWidth="true" hidden="false" outlineLevel="0" max="10" min="10" style="42" width="5.1"/>
    <col collapsed="false" customWidth="true" hidden="false" outlineLevel="0" max="11" min="11" style="42" width="10.2"/>
    <col collapsed="false" customWidth="true" hidden="false" outlineLevel="0" max="12" min="12" style="42" width="5.1"/>
    <col collapsed="false" customWidth="true" hidden="false" outlineLevel="0" max="13" min="13" style="42" width="10.2"/>
    <col collapsed="false" customWidth="true" hidden="false" outlineLevel="0" max="14" min="14" style="42" width="5.1"/>
    <col collapsed="false" customWidth="true" hidden="false" outlineLevel="0" max="15" min="15" style="42" width="10.2"/>
    <col collapsed="false" customWidth="true" hidden="false" outlineLevel="0" max="16" min="16" style="42" width="5.1"/>
    <col collapsed="false" customWidth="true" hidden="false" outlineLevel="0" max="17" min="17" style="42" width="10.2"/>
    <col collapsed="false" customWidth="true" hidden="false" outlineLevel="0" max="18" min="18" style="42" width="5.1"/>
    <col collapsed="false" customWidth="true" hidden="false" outlineLevel="0" max="19" min="19" style="105" width="4.08"/>
    <col collapsed="false" customWidth="true" hidden="false" outlineLevel="0" max="1025" min="20" style="42" width="13.38"/>
  </cols>
  <sheetData>
    <row r="1" customFormat="false" ht="26.55" hidden="false" customHeight="false" outlineLevel="0" collapsed="false">
      <c r="B1" s="197" t="s">
        <v>151</v>
      </c>
      <c r="C1" s="198" t="str">
        <f aca="false">'Set up'!D4</f>
        <v>Farm A</v>
      </c>
      <c r="D1" s="199"/>
      <c r="E1" s="200"/>
      <c r="F1" s="200" t="s">
        <v>152</v>
      </c>
      <c r="G1" s="201" t="n">
        <v>1</v>
      </c>
      <c r="H1" s="202"/>
      <c r="I1" s="44"/>
      <c r="J1" s="44"/>
      <c r="M1" s="203" t="s">
        <v>153</v>
      </c>
      <c r="N1" s="105"/>
      <c r="O1" s="47"/>
      <c r="P1" s="47"/>
      <c r="S1" s="52"/>
    </row>
    <row r="2" customFormat="false" ht="32.35" hidden="false" customHeight="false" outlineLevel="0" collapsed="false">
      <c r="B2" s="204" t="s">
        <v>2</v>
      </c>
      <c r="C2" s="198"/>
      <c r="D2" s="199"/>
      <c r="E2" s="205"/>
      <c r="F2" s="206" t="s">
        <v>154</v>
      </c>
      <c r="I2" s="56"/>
      <c r="J2" s="56"/>
      <c r="K2" s="207"/>
      <c r="L2" s="207"/>
      <c r="M2" s="44"/>
      <c r="N2" s="44"/>
      <c r="O2" s="47"/>
      <c r="P2" s="47"/>
      <c r="S2" s="52"/>
    </row>
    <row r="3" s="42" customFormat="true" ht="26.45" hidden="false" customHeight="false" outlineLevel="0" collapsed="false">
      <c r="B3" s="208" t="s">
        <v>155</v>
      </c>
      <c r="D3" s="56"/>
      <c r="I3" s="209" t="s">
        <v>156</v>
      </c>
      <c r="J3" s="210"/>
    </row>
    <row r="4" s="42" customFormat="true" ht="14.65" hidden="false" customHeight="false" outlineLevel="0" collapsed="false">
      <c r="B4" s="211" t="s">
        <v>157</v>
      </c>
      <c r="C4" s="212" t="n">
        <f aca="false">HLOOKUP($G$1,'Set up'!$D$12:$O$15,3,0)</f>
        <v>43191</v>
      </c>
      <c r="D4" s="213"/>
      <c r="F4" s="214"/>
      <c r="G4" s="215" t="s">
        <v>158</v>
      </c>
      <c r="H4" s="216"/>
      <c r="I4" s="217" t="s">
        <v>159</v>
      </c>
      <c r="J4" s="216"/>
      <c r="K4" s="218" t="s">
        <v>160</v>
      </c>
      <c r="L4" s="219"/>
      <c r="M4" s="220" t="s">
        <v>161</v>
      </c>
      <c r="N4" s="221"/>
      <c r="O4" s="105"/>
      <c r="P4" s="222"/>
      <c r="Q4" s="105"/>
      <c r="R4" s="105"/>
    </row>
    <row r="5" s="42" customFormat="true" ht="14.65" hidden="false" customHeight="false" outlineLevel="0" collapsed="false">
      <c r="B5" s="223" t="s">
        <v>162</v>
      </c>
      <c r="C5" s="224" t="n">
        <f aca="false">HLOOKUP($G$1,'Set up'!$D$12:$O$15,4,0)</f>
        <v>30</v>
      </c>
      <c r="D5" s="199"/>
      <c r="F5" s="222" t="s">
        <v>163</v>
      </c>
      <c r="G5" s="225" t="s">
        <v>164</v>
      </c>
      <c r="H5" s="226"/>
      <c r="I5" s="227" t="s">
        <v>165</v>
      </c>
      <c r="J5" s="227"/>
      <c r="K5" s="228" t="s">
        <v>165</v>
      </c>
      <c r="L5" s="229"/>
      <c r="M5" s="230" t="s">
        <v>164</v>
      </c>
      <c r="N5" s="231"/>
      <c r="O5" s="222"/>
      <c r="P5" s="222"/>
      <c r="Q5" s="105"/>
      <c r="R5" s="232"/>
    </row>
    <row r="6" s="42" customFormat="true" ht="14.65" hidden="false" customHeight="false" outlineLevel="0" collapsed="false">
      <c r="B6" s="233" t="s">
        <v>166</v>
      </c>
      <c r="C6" s="234" t="n">
        <f aca="false">C4+C5</f>
        <v>43221</v>
      </c>
      <c r="D6" s="199"/>
      <c r="F6" s="235" t="s">
        <v>131</v>
      </c>
      <c r="G6" s="236" t="n">
        <f aca="false">IF($G$1=1, VLOOKUP(F6,'Set up'!$A$50:$D$54,3,0),VLOOKUP(F6,'Set up'!$A$50:$O$54,$G$1+2,0))</f>
        <v>100000</v>
      </c>
      <c r="H6" s="237"/>
      <c r="I6" s="238" t="n">
        <f aca="false">(($D$17*I$17*$C$5)+($D$18*I$18*$C$5)+($D$19*I$19*$C$5)+($D$20*I$20*$C$5)+($D$21*I$21*$C$5)+($D$22*I$22*$C$5)+($D$23*I$23*$C$5))*(100/VLOOKUP(F6,'Set up'!$A$50:$C$54,2,0))</f>
        <v>21176.4705882353</v>
      </c>
      <c r="J6" s="239"/>
      <c r="K6" s="240" t="n">
        <v>0</v>
      </c>
      <c r="L6" s="237"/>
      <c r="M6" s="241" t="n">
        <f aca="false">G6-I6+K6</f>
        <v>78823.5294117647</v>
      </c>
      <c r="N6" s="242"/>
      <c r="O6" s="44"/>
      <c r="P6" s="44"/>
      <c r="Q6" s="105"/>
      <c r="R6" s="243"/>
    </row>
    <row r="7" s="42" customFormat="true" ht="14.65" hidden="false" customHeight="false" outlineLevel="0" collapsed="false">
      <c r="B7" s="244"/>
      <c r="C7" s="213"/>
      <c r="F7" s="245" t="s">
        <v>129</v>
      </c>
      <c r="G7" s="246" t="n">
        <f aca="false">IF($G$1=1, VLOOKUP(F7,'Set up'!$A$50:$D$54,3,0),VLOOKUP(F7,'Set up'!$A$50:$O$54,$G$1+2,0))</f>
        <v>110000</v>
      </c>
      <c r="H7" s="247"/>
      <c r="I7" s="248" t="n">
        <f aca="false">((($D$17*K$17*$C$5)+($D$18*K$18*$C$5)+($D$19*K$19*$C$5)+($D$20*K$20*$C$5)+($D$21*K$21*$C$5)+($D$22*K$22*$C$5)+($D$23*K$23*$C$5)))*(100/VLOOKUP(F7,'Set up'!$A$50:$C$54,2,0))</f>
        <v>20000</v>
      </c>
      <c r="J7" s="249"/>
      <c r="K7" s="250" t="n">
        <v>0</v>
      </c>
      <c r="L7" s="247"/>
      <c r="M7" s="251" t="n">
        <f aca="false">G7-I7+K7</f>
        <v>90000</v>
      </c>
      <c r="N7" s="252"/>
      <c r="O7" s="44"/>
      <c r="P7" s="44"/>
      <c r="Q7" s="105"/>
      <c r="R7" s="243"/>
    </row>
    <row r="8" s="42" customFormat="true" ht="14.65" hidden="false" customHeight="false" outlineLevel="0" collapsed="false">
      <c r="B8" s="253" t="s">
        <v>167</v>
      </c>
      <c r="C8" s="254" t="n">
        <f aca="false">'Set up'!D7</f>
        <v>100</v>
      </c>
      <c r="D8" s="255" t="s">
        <v>168</v>
      </c>
      <c r="F8" s="256" t="s">
        <v>130</v>
      </c>
      <c r="G8" s="236" t="n">
        <f aca="false">IF($G$1=1, VLOOKUP(F8,'Set up'!$A$50:$D$54,3,0),VLOOKUP(F8,'Set up'!$A$50:$O$54,$G$1+2,0))</f>
        <v>0</v>
      </c>
      <c r="H8" s="257"/>
      <c r="I8" s="258" t="n">
        <f aca="false">(($D$17*M$17*$C$5)+($D$18*M$18*$C$5)+($D$19*M$19*$C$5)+($D$20*M$20*$C$5)+($D$21*M$21*$C$5)+($D$22*M$22*$C$5)+($D$23*M$23*$C$5))*(100/VLOOKUP(F8,'Set up'!$A$50:$C$54,2,0))</f>
        <v>0</v>
      </c>
      <c r="J8" s="259"/>
      <c r="K8" s="260" t="n">
        <v>0</v>
      </c>
      <c r="L8" s="257"/>
      <c r="M8" s="241" t="n">
        <f aca="false">G8-I8+K8</f>
        <v>0</v>
      </c>
      <c r="N8" s="261"/>
      <c r="O8" s="44"/>
      <c r="P8" s="44"/>
      <c r="Q8" s="105"/>
      <c r="R8" s="243"/>
      <c r="T8" s="262"/>
    </row>
    <row r="9" s="42" customFormat="true" ht="14.65" hidden="false" customHeight="false" outlineLevel="0" collapsed="false">
      <c r="B9" s="263" t="s">
        <v>169</v>
      </c>
      <c r="C9" s="264" t="n">
        <v>0</v>
      </c>
      <c r="D9" s="265" t="n">
        <f aca="true">IF($G$1&lt;&gt;1,INDIRECT("period"&amp;$G$1-1&amp;"!c9"),0)</f>
        <v>0</v>
      </c>
      <c r="F9" s="245" t="s">
        <v>132</v>
      </c>
      <c r="G9" s="246" t="n">
        <f aca="false">IF($G$1=1, VLOOKUP(F9,'Set up'!$A$50:$D$54,3,0),VLOOKUP(F9,'Set up'!$A$50:$O$54,$G$1+2,0))</f>
        <v>0</v>
      </c>
      <c r="H9" s="247"/>
      <c r="I9" s="248" t="n">
        <f aca="false">(($D$17*O$17*$C$5)+($D$18*O$18*$C$5)+($D$19*O$19*$C$5)+($D$20*O$20*$C$5)+($D$21*O$21*$C$5)+($D$22*O$22*$C$5)+($D$23*O$23*$C$5))*(100/VLOOKUP(F9,'Set up'!$A$50:$C$54,2,0))</f>
        <v>0</v>
      </c>
      <c r="J9" s="249"/>
      <c r="K9" s="250" t="n">
        <v>0</v>
      </c>
      <c r="L9" s="247"/>
      <c r="M9" s="251" t="n">
        <f aca="false">G9-I9+K9</f>
        <v>0</v>
      </c>
      <c r="N9" s="252"/>
      <c r="O9" s="44"/>
      <c r="P9" s="44"/>
      <c r="Q9" s="105"/>
      <c r="R9" s="243"/>
    </row>
    <row r="10" s="42" customFormat="true" ht="14.65" hidden="false" customHeight="false" outlineLevel="0" collapsed="false">
      <c r="B10" s="263" t="s">
        <v>170</v>
      </c>
      <c r="C10" s="266" t="n">
        <v>0</v>
      </c>
      <c r="D10" s="265" t="n">
        <f aca="true">IF($G$1&lt;&gt;1,INDIRECT("period"&amp;$G$1-1&amp;"!c10"),0)</f>
        <v>0</v>
      </c>
      <c r="F10" s="267" t="s">
        <v>133</v>
      </c>
      <c r="G10" s="268" t="n">
        <f aca="false">IF($G$1=1, VLOOKUP(F10,'Set up'!$A$50:$D$54,3,0),VLOOKUP(F10,'Set up'!$A$50:$O$54,$G$1+2,0))</f>
        <v>15000</v>
      </c>
      <c r="H10" s="269"/>
      <c r="I10" s="270" t="n">
        <f aca="false">(($D$17*Q$17*$C$5)+($D$18*Q$18*$C$5)+($D$19*Q$19*$C$5)+($D$20*Q$20*$C$5)+($D$21*Q$21*$C$5)+($D$22*Q$22*$C$5)+($D$23*Q$23*$C$5))*(100/VLOOKUP(F10,'Set up'!$A$50:$C$54,2,0))</f>
        <v>0</v>
      </c>
      <c r="J10" s="271"/>
      <c r="K10" s="272" t="n">
        <v>0</v>
      </c>
      <c r="L10" s="269"/>
      <c r="M10" s="273" t="n">
        <f aca="false">G10-I10+K10</f>
        <v>15000</v>
      </c>
      <c r="N10" s="274"/>
      <c r="O10" s="44"/>
      <c r="P10" s="44"/>
      <c r="Q10" s="105"/>
      <c r="R10" s="243"/>
    </row>
    <row r="11" s="42" customFormat="true" ht="14.65" hidden="false" customHeight="false" outlineLevel="0" collapsed="false">
      <c r="B11" s="275" t="s">
        <v>171</v>
      </c>
      <c r="C11" s="276" t="n">
        <f aca="false">C8-C9-C10</f>
        <v>100</v>
      </c>
      <c r="D11" s="265" t="n">
        <f aca="true">IF($G$1&lt;&gt;1,INDIRECT("period"&amp;$G$1-1&amp;"!c11"),0)</f>
        <v>0</v>
      </c>
      <c r="F11" s="42" t="s">
        <v>172</v>
      </c>
    </row>
    <row r="12" s="42" customFormat="true" ht="14.65" hidden="false" customHeight="false" outlineLevel="0" collapsed="false">
      <c r="A12" s="44"/>
      <c r="B12" s="277" t="s">
        <v>173</v>
      </c>
      <c r="C12" s="278" t="n">
        <f aca="false">INDEX('Set up'!D30:O30,1,G1)</f>
        <v>45</v>
      </c>
      <c r="D12" s="279" t="s">
        <v>174</v>
      </c>
      <c r="E12" s="44"/>
      <c r="F12" s="105" t="s">
        <v>175</v>
      </c>
      <c r="G12" s="105"/>
      <c r="H12" s="105"/>
      <c r="I12" s="105"/>
      <c r="J12" s="105"/>
    </row>
    <row r="13" s="42" customFormat="true" ht="14.65" hidden="false" customHeight="false" outlineLevel="0" collapsed="false">
      <c r="B13" s="2"/>
      <c r="C13" s="2"/>
      <c r="D13" s="2"/>
    </row>
    <row r="14" s="42" customFormat="true" ht="14.65" hidden="false" customHeight="false" outlineLevel="0" collapsed="false">
      <c r="B14" s="2"/>
      <c r="C14" s="2"/>
      <c r="D14" s="2"/>
      <c r="F14" s="280"/>
    </row>
    <row r="15" s="42" customFormat="true" ht="57.25" hidden="false" customHeight="true" outlineLevel="0" collapsed="false">
      <c r="B15" s="208" t="s">
        <v>176</v>
      </c>
      <c r="C15" s="281"/>
      <c r="D15" s="282"/>
      <c r="G15" s="283" t="s">
        <v>177</v>
      </c>
      <c r="N15" s="284"/>
      <c r="Y15" s="285"/>
      <c r="Z15" s="285"/>
      <c r="AA15" s="285"/>
      <c r="AB15" s="285"/>
      <c r="AC15" s="285"/>
      <c r="AD15" s="285"/>
    </row>
    <row r="16" customFormat="false" ht="47.7" hidden="false" customHeight="true" outlineLevel="0" collapsed="false">
      <c r="B16" s="286" t="s">
        <v>178</v>
      </c>
      <c r="C16" s="287" t="s">
        <v>179</v>
      </c>
      <c r="D16" s="288" t="s">
        <v>180</v>
      </c>
      <c r="E16" s="289" t="s">
        <v>181</v>
      </c>
      <c r="F16" s="290" t="s">
        <v>182</v>
      </c>
      <c r="G16" s="291" t="s">
        <v>123</v>
      </c>
      <c r="H16" s="292" t="s">
        <v>183</v>
      </c>
      <c r="I16" s="293" t="str">
        <f aca="false">F6</f>
        <v>Meadow Hay</v>
      </c>
      <c r="J16" s="294" t="s">
        <v>183</v>
      </c>
      <c r="K16" s="295" t="str">
        <f aca="false">F7</f>
        <v>Pasture Silage</v>
      </c>
      <c r="L16" s="292" t="s">
        <v>183</v>
      </c>
      <c r="M16" s="293" t="str">
        <f aca="false">F8</f>
        <v>Maize Silage</v>
      </c>
      <c r="N16" s="294" t="s">
        <v>183</v>
      </c>
      <c r="O16" s="295" t="str">
        <f aca="false">F9</f>
        <v>Crop</v>
      </c>
      <c r="P16" s="292" t="s">
        <v>183</v>
      </c>
      <c r="Q16" s="293" t="str">
        <f aca="false">F10</f>
        <v>Meal</v>
      </c>
      <c r="R16" s="294" t="s">
        <v>183</v>
      </c>
      <c r="S16" s="296"/>
    </row>
    <row r="17" customFormat="false" ht="14.65" hidden="false" customHeight="false" outlineLevel="0" collapsed="false">
      <c r="B17" s="297" t="s">
        <v>138</v>
      </c>
      <c r="C17" s="298" t="n">
        <f aca="false">VLOOKUP(B17,'Set up'!$B$62:$O$89,2+$G$1,FALSE())</f>
        <v>125</v>
      </c>
      <c r="D17" s="299" t="n">
        <v>125</v>
      </c>
      <c r="E17" s="300" t="str">
        <f aca="false">TRIM(CLEAN(INDEX('Set up'!$D$63:$O$87,MATCH(B17,'Set up'!$B$62:$B$89,0),+$G$1)))</f>
        <v>17</v>
      </c>
      <c r="F17" s="301" t="n">
        <f aca="false">G17+I17+K17+M17+O17+Q17</f>
        <v>19</v>
      </c>
      <c r="G17" s="302" t="n">
        <v>15</v>
      </c>
      <c r="H17" s="303" t="n">
        <f aca="true">IF($G$1&lt;&gt;1,INDIRECT("period"&amp;$G$1-1&amp;"!G17"),0)</f>
        <v>0</v>
      </c>
      <c r="I17" s="302" t="n">
        <v>2</v>
      </c>
      <c r="J17" s="303" t="n">
        <f aca="true">IF($G$1&lt;&gt;1,INDIRECT("period"&amp;$G$1-1&amp;"!I17"),0)</f>
        <v>0</v>
      </c>
      <c r="K17" s="302" t="n">
        <v>2</v>
      </c>
      <c r="L17" s="303" t="n">
        <f aca="true">IF($G$1&lt;&gt;1,INDIRECT("period"&amp;$G$1-1&amp;"!K17"),0)</f>
        <v>0</v>
      </c>
      <c r="M17" s="302" t="n">
        <v>0</v>
      </c>
      <c r="N17" s="303" t="n">
        <f aca="true">IF($G$1&lt;&gt;1,INDIRECT("period"&amp;$G$1-1&amp;"!M17"),0)</f>
        <v>0</v>
      </c>
      <c r="O17" s="302" t="n">
        <v>0</v>
      </c>
      <c r="P17" s="303" t="n">
        <f aca="true">IF($G$1&lt;&gt;1,INDIRECT("period"&amp;$G$1-1&amp;"!O17"),0)</f>
        <v>0</v>
      </c>
      <c r="Q17" s="304" t="n">
        <v>0</v>
      </c>
      <c r="R17" s="305" t="n">
        <f aca="true">IF($G$1&lt;&gt;1,INDIRECT("period"&amp;$G$1-1&amp;"!Q17"),0)</f>
        <v>0</v>
      </c>
      <c r="S17" s="306"/>
    </row>
    <row r="18" customFormat="false" ht="14.65" hidden="false" customHeight="false" outlineLevel="0" collapsed="false">
      <c r="B18" s="307" t="s">
        <v>142</v>
      </c>
      <c r="C18" s="308" t="n">
        <f aca="false">VLOOKUP(B18,'Set up'!$B$62:$O$89,2+$G$1,FALSE())</f>
        <v>0</v>
      </c>
      <c r="D18" s="309" t="n">
        <v>0</v>
      </c>
      <c r="E18" s="310" t="str">
        <f aca="false">TRIM(CLEAN(INDEX('Set up'!$D$63:$O$87,MATCH(B18,'Set up'!$B$62:$B$89,0),+$G$1)))</f>
        <v>0</v>
      </c>
      <c r="F18" s="311" t="n">
        <f aca="false">G18+I18+K18+M18+O18+Q18</f>
        <v>0</v>
      </c>
      <c r="G18" s="312" t="n">
        <v>0</v>
      </c>
      <c r="H18" s="313" t="n">
        <f aca="true">IF($G$1&lt;&gt;1,INDIRECT("period"&amp;$G$1-1&amp;"!G18"),0)</f>
        <v>0</v>
      </c>
      <c r="I18" s="312" t="n">
        <v>0</v>
      </c>
      <c r="J18" s="313" t="n">
        <f aca="true">IF($G$1&lt;&gt;1,INDIRECT("period"&amp;$G$1-1&amp;"!I18"),0)</f>
        <v>0</v>
      </c>
      <c r="K18" s="312" t="n">
        <v>0</v>
      </c>
      <c r="L18" s="313" t="n">
        <f aca="true">IF($G$1&lt;&gt;1,INDIRECT("period"&amp;$G$1-1&amp;"!K18"),0)</f>
        <v>0</v>
      </c>
      <c r="M18" s="312" t="n">
        <v>0</v>
      </c>
      <c r="N18" s="313" t="n">
        <f aca="true">IF($G$1&lt;&gt;1,INDIRECT("period"&amp;$G$1-1&amp;"!M18"),0)</f>
        <v>0</v>
      </c>
      <c r="O18" s="312" t="n">
        <v>0</v>
      </c>
      <c r="P18" s="313" t="n">
        <f aca="true">IF($G$1&lt;&gt;1,INDIRECT("period"&amp;$G$1-1&amp;"!O18"),0)</f>
        <v>0</v>
      </c>
      <c r="Q18" s="312" t="n">
        <v>0</v>
      </c>
      <c r="R18" s="313" t="n">
        <f aca="true">IF($G$1&lt;&gt;1,INDIRECT("period"&amp;$G$1-1&amp;"!Q18"),0)</f>
        <v>0</v>
      </c>
      <c r="S18" s="306"/>
    </row>
    <row r="19" customFormat="false" ht="14.65" hidden="false" customHeight="false" outlineLevel="0" collapsed="false">
      <c r="B19" s="314" t="s">
        <v>143</v>
      </c>
      <c r="C19" s="308" t="n">
        <f aca="false">VLOOKUP(B19,'Set up'!$B$62:$O$89,2+$G$1,FALSE())</f>
        <v>125</v>
      </c>
      <c r="D19" s="315" t="n">
        <v>125</v>
      </c>
      <c r="E19" s="316" t="str">
        <f aca="false">TRIM(CLEAN(INDEX('Set up'!$D$63:$O$87,MATCH(B19,'Set up'!$B$62:$B$89,0),+$G$1)))</f>
        <v>8</v>
      </c>
      <c r="F19" s="317" t="n">
        <f aca="false">G19+I19+K19+M19+O19+Q19</f>
        <v>9</v>
      </c>
      <c r="G19" s="304" t="n">
        <v>5</v>
      </c>
      <c r="H19" s="305" t="n">
        <f aca="true">IF($G$1&lt;&gt;1,INDIRECT("period"&amp;$G$1-1&amp;"!G19"),0)</f>
        <v>0</v>
      </c>
      <c r="I19" s="304" t="n">
        <v>2</v>
      </c>
      <c r="J19" s="305" t="n">
        <f aca="true">IF($G$1&lt;&gt;1,INDIRECT("period"&amp;$G$1-1&amp;"!I19"),0)</f>
        <v>0</v>
      </c>
      <c r="K19" s="304" t="n">
        <v>2</v>
      </c>
      <c r="L19" s="305" t="n">
        <f aca="true">IF($G$1&lt;&gt;1,INDIRECT("period"&amp;$G$1-1&amp;"!K19"),0)</f>
        <v>0</v>
      </c>
      <c r="M19" s="304" t="n">
        <v>0</v>
      </c>
      <c r="N19" s="305" t="n">
        <f aca="true">IF($G$1&lt;&gt;1,INDIRECT("period"&amp;$G$1-1&amp;"!G19"),0)</f>
        <v>0</v>
      </c>
      <c r="O19" s="304" t="n">
        <v>0</v>
      </c>
      <c r="P19" s="305" t="n">
        <f aca="true">IF($G$1&lt;&gt;1,INDIRECT("period"&amp;$G$1-1&amp;"!O19"),0)</f>
        <v>0</v>
      </c>
      <c r="Q19" s="304" t="n">
        <v>0</v>
      </c>
      <c r="R19" s="305" t="n">
        <f aca="true">IF($G$1&lt;&gt;1,INDIRECT("period"&amp;$G$1-1&amp;"!Q19"),0)</f>
        <v>0</v>
      </c>
      <c r="S19" s="306"/>
    </row>
    <row r="20" customFormat="false" ht="14.65" hidden="false" customHeight="false" outlineLevel="0" collapsed="false">
      <c r="B20" s="307" t="s">
        <v>144</v>
      </c>
      <c r="C20" s="308" t="n">
        <f aca="false">VLOOKUP(B20,'Set up'!$B$62:$O$89,2+$G$1,FALSE())</f>
        <v>50</v>
      </c>
      <c r="D20" s="318" t="n">
        <v>50</v>
      </c>
      <c r="E20" s="310" t="str">
        <f aca="false">TRIM(CLEAN(INDEX('Set up'!$D$63:$O$87,MATCH(B20,'Set up'!$B$62:$B$89,0),+$G$1)))</f>
        <v>5</v>
      </c>
      <c r="F20" s="311" t="n">
        <f aca="false">G20+I20+K20+M20+O20+Q20</f>
        <v>5</v>
      </c>
      <c r="G20" s="312" t="n">
        <v>4</v>
      </c>
      <c r="H20" s="313" t="n">
        <f aca="true">IF($G$1&lt;&gt;1,INDIRECT("period"&amp;$G$1-1&amp;"!G20"),0)</f>
        <v>0</v>
      </c>
      <c r="I20" s="312" t="n">
        <v>1</v>
      </c>
      <c r="J20" s="313" t="n">
        <f aca="true">IF($G$1&lt;&gt;1,INDIRECT("period"&amp;$G$1-1&amp;"!I27"),0)</f>
        <v>0</v>
      </c>
      <c r="K20" s="312" t="n">
        <v>0</v>
      </c>
      <c r="L20" s="313" t="n">
        <f aca="true">IF($G$1&lt;&gt;1,INDIRECT("period"&amp;$G$1-1&amp;"!K20"),0)</f>
        <v>0</v>
      </c>
      <c r="M20" s="312" t="n">
        <v>0</v>
      </c>
      <c r="N20" s="313" t="n">
        <f aca="true">IF($G$1&lt;&gt;1,INDIRECT("period"&amp;$G$1-1&amp;"!M20"),0)</f>
        <v>0</v>
      </c>
      <c r="O20" s="312" t="n">
        <v>0</v>
      </c>
      <c r="P20" s="313" t="n">
        <f aca="true">IF($G$1&lt;&gt;1,INDIRECT("period"&amp;$G$1-1&amp;"!O20"),0)</f>
        <v>0</v>
      </c>
      <c r="Q20" s="312" t="n">
        <v>0</v>
      </c>
      <c r="R20" s="313" t="n">
        <f aca="true">IF($G$1&lt;&gt;1,INDIRECT("period"&amp;$G$1-1&amp;"!Q20"),0)</f>
        <v>0</v>
      </c>
      <c r="S20" s="306"/>
    </row>
    <row r="21" customFormat="false" ht="14.65" hidden="false" customHeight="false" outlineLevel="0" collapsed="false">
      <c r="B21" s="314" t="s">
        <v>145</v>
      </c>
      <c r="C21" s="308" t="n">
        <f aca="false">VLOOKUP(B21,'Set up'!$B$62:$O$89,2+$G$1,FALSE())</f>
        <v>50</v>
      </c>
      <c r="D21" s="315" t="n">
        <v>50</v>
      </c>
      <c r="E21" s="316" t="str">
        <f aca="false">TRIM(CLEAN(INDEX('Set up'!$D$63:$O$87,MATCH(B21,'Set up'!$B$62:$B$89,0),+$G$1)))</f>
        <v>4</v>
      </c>
      <c r="F21" s="317" t="n">
        <f aca="false">G21+I21+K21+M21+O21+Q21</f>
        <v>4</v>
      </c>
      <c r="G21" s="304" t="n">
        <v>3</v>
      </c>
      <c r="H21" s="305" t="n">
        <f aca="true">IF($G$1&lt;&gt;1,INDIRECT("period"&amp;$G$1-1&amp;"!G21"),0)</f>
        <v>0</v>
      </c>
      <c r="I21" s="304" t="n">
        <v>1</v>
      </c>
      <c r="J21" s="305" t="n">
        <f aca="true">IF($G$1&lt;&gt;1,INDIRECT("period"&amp;$G$1-1&amp;"!I21"),0)</f>
        <v>0</v>
      </c>
      <c r="K21" s="304" t="n">
        <v>0</v>
      </c>
      <c r="L21" s="305" t="n">
        <f aca="true">IF($G$1&lt;&gt;1,INDIRECT("period"&amp;$G$1-1&amp;"!K21"),0)</f>
        <v>0</v>
      </c>
      <c r="M21" s="304" t="n">
        <v>0</v>
      </c>
      <c r="N21" s="305" t="n">
        <f aca="true">IF($G$1&lt;&gt;1,INDIRECT("period"&amp;$G$1-1&amp;"!M21"),0)</f>
        <v>0</v>
      </c>
      <c r="O21" s="304" t="n">
        <v>0</v>
      </c>
      <c r="P21" s="305" t="n">
        <f aca="true">IF($G$1&lt;&gt;1,INDIRECT("period"&amp;$G$1-1&amp;"!O21"),0)</f>
        <v>0</v>
      </c>
      <c r="Q21" s="304" t="n">
        <v>0</v>
      </c>
      <c r="R21" s="305" t="n">
        <f aca="true">IF($G$1&lt;&gt;1,INDIRECT("period"&amp;$G$1-1&amp;"!Q21"),0)</f>
        <v>0</v>
      </c>
      <c r="S21" s="319"/>
    </row>
    <row r="22" customFormat="false" ht="14.65" hidden="false" customHeight="false" outlineLevel="0" collapsed="false">
      <c r="B22" s="307" t="s">
        <v>147</v>
      </c>
      <c r="C22" s="308" t="n">
        <f aca="false">VLOOKUP(B22,'Set up'!$B$62:$O$89,2+$G$1,FALSE())</f>
        <v>0</v>
      </c>
      <c r="D22" s="318" t="n">
        <v>0</v>
      </c>
      <c r="E22" s="310" t="str">
        <f aca="false">TRIM(CLEAN(INDEX('Set up'!$D$63:$O$87,MATCH(B22,'Set up'!$B$62:$B$89,0),+$G$1)))</f>
        <v>0</v>
      </c>
      <c r="F22" s="311" t="n">
        <f aca="false">G22+I22+K22+M22+O22+Q22</f>
        <v>0</v>
      </c>
      <c r="G22" s="312" t="n">
        <v>0</v>
      </c>
      <c r="H22" s="313" t="n">
        <f aca="true">IF($G$1&lt;&gt;1,INDIRECT("period"&amp;$G$1-1&amp;"!G22"),0)</f>
        <v>0</v>
      </c>
      <c r="I22" s="312" t="n">
        <v>0</v>
      </c>
      <c r="J22" s="313" t="n">
        <f aca="true">IF($G$1&lt;&gt;1,INDIRECT("period"&amp;$G$1-1&amp;"!i22"),0)</f>
        <v>0</v>
      </c>
      <c r="K22" s="312" t="n">
        <v>0</v>
      </c>
      <c r="L22" s="313" t="n">
        <f aca="true">IF($G$1&lt;&gt;1,INDIRECT("period"&amp;$G$1-1&amp;"!G22"),0)</f>
        <v>0</v>
      </c>
      <c r="M22" s="312" t="n">
        <v>0</v>
      </c>
      <c r="N22" s="313" t="n">
        <f aca="true">IF($G$1&lt;&gt;1,INDIRECT("period"&amp;$G$1-1&amp;"!M22"),0)</f>
        <v>0</v>
      </c>
      <c r="O22" s="312" t="n">
        <v>0</v>
      </c>
      <c r="P22" s="313" t="n">
        <f aca="true">IF($G$1&lt;&gt;1,INDIRECT("period"&amp;$G$1-1&amp;"!O22"),0)</f>
        <v>0</v>
      </c>
      <c r="Q22" s="312" t="n">
        <v>0</v>
      </c>
      <c r="R22" s="313" t="n">
        <f aca="true">IF($G$1&lt;&gt;1,INDIRECT("period"&amp;$G$1-1&amp;"!Q22"),0)</f>
        <v>0</v>
      </c>
      <c r="S22" s="306"/>
    </row>
    <row r="23" customFormat="false" ht="14.65" hidden="false" customHeight="false" outlineLevel="0" collapsed="false">
      <c r="B23" s="320" t="s">
        <v>146</v>
      </c>
      <c r="C23" s="321" t="n">
        <f aca="false">VLOOKUP(B23,'Set up'!$B$62:$O$89,2+$G$1,FALSE())</f>
        <v>0</v>
      </c>
      <c r="D23" s="322" t="n">
        <v>0</v>
      </c>
      <c r="E23" s="323" t="str">
        <f aca="false">TRIM(CLEAN(INDEX('Set up'!$D$63:$O$87,MATCH(B23,'Set up'!$B$62:$B$89,0),+$G$1)))</f>
        <v>0</v>
      </c>
      <c r="F23" s="324" t="n">
        <f aca="false">G23+I23+K23+M23+O23+Q23</f>
        <v>0</v>
      </c>
      <c r="G23" s="325" t="n">
        <v>0</v>
      </c>
      <c r="H23" s="326" t="n">
        <f aca="true">IF($G$1&lt;&gt;1,INDIRECT("period"&amp;$G$1-1&amp;"!G23"),0)</f>
        <v>0</v>
      </c>
      <c r="I23" s="325" t="n">
        <v>0</v>
      </c>
      <c r="J23" s="326" t="n">
        <f aca="true">IF($G$1&lt;&gt;1,INDIRECT("period"&amp;$G$1-1&amp;"!I23"),0)</f>
        <v>0</v>
      </c>
      <c r="K23" s="325" t="n">
        <v>0</v>
      </c>
      <c r="L23" s="326" t="n">
        <f aca="true">IF($G$1&lt;&gt;1,INDIRECT("period"&amp;$G$1-1&amp;"!K23"),0)</f>
        <v>0</v>
      </c>
      <c r="M23" s="325" t="n">
        <v>0</v>
      </c>
      <c r="N23" s="326" t="n">
        <f aca="true">IF($G$1&lt;&gt;1,INDIRECT("period"&amp;$G$1-1&amp;"!M23"),0)</f>
        <v>0</v>
      </c>
      <c r="O23" s="325" t="n">
        <v>0</v>
      </c>
      <c r="P23" s="326" t="n">
        <f aca="true">IF($G$1&lt;&gt;1,INDIRECT("period"&amp;$G$1-1&amp;"!G23"),0)</f>
        <v>0</v>
      </c>
      <c r="Q23" s="325" t="n">
        <v>0</v>
      </c>
      <c r="R23" s="326" t="n">
        <f aca="true">IF($G$1&lt;&gt;1,INDIRECT("period"&amp;$G$1-1&amp;"!Q23"),0)</f>
        <v>0</v>
      </c>
      <c r="S23" s="306"/>
    </row>
    <row r="24" customFormat="false" ht="14.65" hidden="false" customHeight="false" outlineLevel="0" collapsed="false">
      <c r="B24" s="327" t="s">
        <v>184</v>
      </c>
      <c r="C24" s="328" t="n">
        <f aca="false">SUM(C17:C23)</f>
        <v>350</v>
      </c>
      <c r="D24" s="329" t="n">
        <f aca="false">SUM(D17:D23)</f>
        <v>350</v>
      </c>
      <c r="E24" s="330"/>
      <c r="F24" s="330"/>
      <c r="S24" s="331"/>
    </row>
    <row r="25" customFormat="false" ht="14.65" hidden="false" customHeight="false" outlineLevel="0" collapsed="false">
      <c r="B25" s="332"/>
      <c r="C25" s="333"/>
      <c r="D25" s="334"/>
      <c r="E25" s="330"/>
      <c r="F25" s="330"/>
      <c r="H25" s="335"/>
      <c r="I25" s="336"/>
      <c r="J25" s="337" t="s">
        <v>185</v>
      </c>
      <c r="K25" s="336"/>
      <c r="L25" s="336"/>
      <c r="M25" s="338"/>
      <c r="S25" s="331"/>
    </row>
    <row r="26" s="42" customFormat="true" ht="14.65" hidden="false" customHeight="false" outlineLevel="0" collapsed="false">
      <c r="H26" s="339"/>
      <c r="I26" s="340"/>
      <c r="J26" s="341" t="s">
        <v>186</v>
      </c>
      <c r="K26" s="342" t="n">
        <f aca="false">G46</f>
        <v>2390</v>
      </c>
      <c r="L26" s="343" t="s">
        <v>174</v>
      </c>
      <c r="M26" s="344"/>
      <c r="P26" s="345"/>
    </row>
    <row r="27" s="42" customFormat="true" ht="14.65" hidden="false" customHeight="false" outlineLevel="0" collapsed="false">
      <c r="H27" s="136"/>
      <c r="I27" s="346"/>
      <c r="J27" s="347" t="s">
        <v>187</v>
      </c>
      <c r="K27" s="348" t="str">
        <f aca="false">"("&amp;G47</f>
        <v>(2000</v>
      </c>
      <c r="L27" s="349" t="s">
        <v>188</v>
      </c>
      <c r="M27" s="350"/>
    </row>
    <row r="28" s="42" customFormat="true" ht="27.25" hidden="false" customHeight="false" outlineLevel="0" collapsed="false">
      <c r="B28" s="208" t="s">
        <v>189</v>
      </c>
      <c r="G28" s="351"/>
      <c r="H28" s="351"/>
      <c r="I28" s="352"/>
      <c r="J28" s="352"/>
      <c r="K28" s="353" t="s">
        <v>190</v>
      </c>
      <c r="L28" s="353"/>
      <c r="M28" s="352"/>
      <c r="N28" s="352"/>
      <c r="O28" s="352"/>
      <c r="P28" s="352"/>
      <c r="Q28" s="354"/>
      <c r="R28" s="354"/>
    </row>
    <row r="29" s="42" customFormat="true" ht="14.65" hidden="false" customHeight="false" outlineLevel="0" collapsed="false">
      <c r="B29" s="42" t="s">
        <v>191</v>
      </c>
      <c r="G29" s="355"/>
      <c r="H29" s="355"/>
      <c r="I29" s="356"/>
      <c r="J29" s="356"/>
      <c r="K29" s="357"/>
      <c r="L29" s="357"/>
      <c r="M29" s="356"/>
      <c r="N29" s="356"/>
      <c r="O29" s="356"/>
      <c r="P29" s="356"/>
      <c r="Q29" s="358"/>
      <c r="R29" s="358"/>
      <c r="T29" s="359"/>
    </row>
    <row r="30" s="42" customFormat="true" ht="23.85" hidden="false" customHeight="false" outlineLevel="0" collapsed="false">
      <c r="G30" s="360" t="s">
        <v>123</v>
      </c>
      <c r="H30" s="361"/>
      <c r="I30" s="362" t="str">
        <f aca="false">I16</f>
        <v>Meadow Hay</v>
      </c>
      <c r="J30" s="363"/>
      <c r="K30" s="364" t="str">
        <f aca="false">K16</f>
        <v>Pasture Silage</v>
      </c>
      <c r="L30" s="365"/>
      <c r="M30" s="362" t="str">
        <f aca="false">M16</f>
        <v>Maize Silage</v>
      </c>
      <c r="N30" s="363"/>
      <c r="O30" s="366" t="str">
        <f aca="false">O16</f>
        <v>Crop</v>
      </c>
      <c r="P30" s="365"/>
      <c r="Q30" s="362" t="str">
        <f aca="false">Q16</f>
        <v>Meal</v>
      </c>
      <c r="R30" s="363"/>
    </row>
    <row r="31" s="42" customFormat="true" ht="14.65" hidden="false" customHeight="false" outlineLevel="0" collapsed="false">
      <c r="E31" s="367" t="str">
        <f aca="false">B17</f>
        <v>Milking Cows Herd A</v>
      </c>
      <c r="F31" s="368"/>
      <c r="G31" s="369" t="n">
        <f aca="false">G17*(1/INDEX('Set up'!$D$45:$O$45,1,$G$1))</f>
        <v>16.6666666666667</v>
      </c>
      <c r="H31" s="370"/>
      <c r="I31" s="371" t="n">
        <f aca="false">I17*100/((VLOOKUP(I$16,'Set up'!$A$50:$B$54,2,0)))</f>
        <v>2.35294117647059</v>
      </c>
      <c r="J31" s="371"/>
      <c r="K31" s="369" t="n">
        <f aca="false">K17*100/((VLOOKUP(K$16,'Set up'!$A$50:$B$54,2,0)))</f>
        <v>2.66666666666667</v>
      </c>
      <c r="L31" s="370"/>
      <c r="M31" s="369" t="n">
        <f aca="false">M17*100/((VLOOKUP(M$16,'Set up'!$A$50:$B$54,2,0)))</f>
        <v>0</v>
      </c>
      <c r="N31" s="370"/>
      <c r="O31" s="369" t="n">
        <f aca="false">O17*100/((VLOOKUP(O$16,'Set up'!$A$50:$B$54,2,0)))</f>
        <v>0</v>
      </c>
      <c r="P31" s="370"/>
      <c r="Q31" s="369" t="n">
        <f aca="false">Q17*100/((VLOOKUP(Q$16,'Set up'!$A$50:$B$54,2,0)))</f>
        <v>0</v>
      </c>
      <c r="R31" s="370"/>
    </row>
    <row r="32" s="42" customFormat="true" ht="14.65" hidden="false" customHeight="false" outlineLevel="0" collapsed="false">
      <c r="E32" s="372" t="str">
        <f aca="false">B18</f>
        <v>Dry Fats</v>
      </c>
      <c r="F32" s="373"/>
      <c r="G32" s="374" t="n">
        <f aca="false">G18*(1/INDEX('Set up'!$D$45:$O$45,1,$G$1))</f>
        <v>0</v>
      </c>
      <c r="H32" s="375"/>
      <c r="I32" s="376" t="n">
        <f aca="false">I18*100/((VLOOKUP(I$16,'Set up'!$A$50:$B$54,2,0)))</f>
        <v>0</v>
      </c>
      <c r="J32" s="376"/>
      <c r="K32" s="377" t="n">
        <f aca="false">K18*100/((VLOOKUP(K$16,'Set up'!$A$50:$B$54,2,0)))</f>
        <v>0</v>
      </c>
      <c r="L32" s="378"/>
      <c r="M32" s="377" t="n">
        <f aca="false">M18*100/((VLOOKUP(M$16,'Set up'!$A$50:$B$54,2,0)))</f>
        <v>0</v>
      </c>
      <c r="N32" s="378"/>
      <c r="O32" s="377" t="n">
        <f aca="false">O18*100/((VLOOKUP(O$16,'Set up'!$A$50:$B$54,2,0)))</f>
        <v>0</v>
      </c>
      <c r="P32" s="378"/>
      <c r="Q32" s="377" t="n">
        <f aca="false">Q18*100/((VLOOKUP(Q$16,'Set up'!$A$50:$B$54,2,0)))</f>
        <v>0</v>
      </c>
      <c r="R32" s="378"/>
    </row>
    <row r="33" s="42" customFormat="true" ht="14.65" hidden="false" customHeight="false" outlineLevel="0" collapsed="false">
      <c r="E33" s="379" t="str">
        <f aca="false">B19</f>
        <v>Dry thins</v>
      </c>
      <c r="F33" s="380"/>
      <c r="G33" s="369" t="n">
        <f aca="false">G19*(1/INDEX('Set up'!$D$45:$O$45,1,$G$1))</f>
        <v>5.55555555555556</v>
      </c>
      <c r="H33" s="370"/>
      <c r="I33" s="371" t="n">
        <f aca="false">I19*100/((VLOOKUP(I$16,'Set up'!$A$50:$B$54,2,0)))</f>
        <v>2.35294117647059</v>
      </c>
      <c r="J33" s="371"/>
      <c r="K33" s="369" t="n">
        <f aca="false">K19*100/((VLOOKUP(K$16,'Set up'!$A$50:$B$54,2,0)))</f>
        <v>2.66666666666667</v>
      </c>
      <c r="L33" s="370"/>
      <c r="M33" s="369" t="n">
        <f aca="false">M19*100/((VLOOKUP(M$16,'Set up'!$A$50:$B$54,2,0)))</f>
        <v>0</v>
      </c>
      <c r="N33" s="370"/>
      <c r="O33" s="369" t="n">
        <f aca="false">O19*100/((VLOOKUP(O$16,'Set up'!$A$50:$B$54,2,0)))</f>
        <v>0</v>
      </c>
      <c r="P33" s="370"/>
      <c r="Q33" s="369" t="n">
        <f aca="false">Q19*100/((VLOOKUP(Q$16,'Set up'!$A$50:$B$54,2,0)))</f>
        <v>0</v>
      </c>
      <c r="R33" s="370"/>
    </row>
    <row r="34" s="42" customFormat="true" ht="14.65" hidden="false" customHeight="false" outlineLevel="0" collapsed="false">
      <c r="E34" s="372" t="str">
        <f aca="false">B20</f>
        <v>R 2yr heifers</v>
      </c>
      <c r="F34" s="373"/>
      <c r="G34" s="374" t="n">
        <f aca="false">G20*(1/INDEX('Set up'!$D$45:$O$45,1,$G$1))</f>
        <v>4.44444444444444</v>
      </c>
      <c r="H34" s="375"/>
      <c r="I34" s="381" t="n">
        <f aca="false">I20*100/((VLOOKUP(I$16,'Set up'!$A$50:$B$54,2,0)))</f>
        <v>1.17647058823529</v>
      </c>
      <c r="J34" s="381"/>
      <c r="K34" s="382" t="n">
        <f aca="false">K20*100/((VLOOKUP(K$16,'Set up'!$A$50:$B$54,2,0)))</f>
        <v>0</v>
      </c>
      <c r="L34" s="383"/>
      <c r="M34" s="382" t="n">
        <f aca="false">M20*100/((VLOOKUP(M$16,'Set up'!$A$50:$B$54,2,0)))</f>
        <v>0</v>
      </c>
      <c r="N34" s="383"/>
      <c r="O34" s="382" t="n">
        <f aca="false">O20*100/((VLOOKUP(O$16,'Set up'!$A$50:$B$54,2,0)))</f>
        <v>0</v>
      </c>
      <c r="P34" s="383"/>
      <c r="Q34" s="382" t="n">
        <f aca="false">Q20*100/((VLOOKUP(Q$16,'Set up'!$A$50:$B$54,2,0)))</f>
        <v>0</v>
      </c>
      <c r="R34" s="383"/>
    </row>
    <row r="35" s="42" customFormat="true" ht="14.65" hidden="false" customHeight="false" outlineLevel="0" collapsed="false">
      <c r="E35" s="367" t="str">
        <f aca="false">B21</f>
        <v>Heifer Calves</v>
      </c>
      <c r="F35" s="368"/>
      <c r="G35" s="369" t="n">
        <f aca="false">G21*(1/INDEX('Set up'!$D$45:$O$45,1,$G$1))</f>
        <v>3.33333333333333</v>
      </c>
      <c r="H35" s="370"/>
      <c r="I35" s="371" t="n">
        <f aca="false">I21*100/((VLOOKUP(I$16,'Set up'!$A$50:$B$54,2,0)))</f>
        <v>1.17647058823529</v>
      </c>
      <c r="J35" s="371"/>
      <c r="K35" s="369" t="n">
        <f aca="false">K21*100/((VLOOKUP(K$16,'Set up'!$A$50:$B$54,2,0)))</f>
        <v>0</v>
      </c>
      <c r="L35" s="370"/>
      <c r="M35" s="369" t="n">
        <f aca="false">M21*100/((VLOOKUP(M$16,'Set up'!$A$50:$B$54,2,0)))</f>
        <v>0</v>
      </c>
      <c r="N35" s="370"/>
      <c r="O35" s="369" t="n">
        <f aca="false">O21*100/((VLOOKUP(O$16,'Set up'!$A$50:$B$54,2,0)))</f>
        <v>0</v>
      </c>
      <c r="P35" s="370"/>
      <c r="Q35" s="369" t="n">
        <f aca="false">Q21*100/((VLOOKUP(Q$16,'Set up'!$A$50:$B$54,2,0)))</f>
        <v>0</v>
      </c>
      <c r="R35" s="370"/>
    </row>
    <row r="36" s="42" customFormat="true" ht="14.65" hidden="false" customHeight="false" outlineLevel="0" collapsed="false">
      <c r="E36" s="372" t="str">
        <f aca="false">B22</f>
        <v>Bulls</v>
      </c>
      <c r="F36" s="373"/>
      <c r="G36" s="374" t="n">
        <f aca="false">G22*(1/INDEX('Set up'!$D$45:$O$45,1,$G$1))</f>
        <v>0</v>
      </c>
      <c r="H36" s="375"/>
      <c r="I36" s="381" t="n">
        <f aca="false">I22*100/((VLOOKUP(I$16,'Set up'!$A$50:$B$54,2,0)))</f>
        <v>0</v>
      </c>
      <c r="J36" s="381"/>
      <c r="K36" s="382" t="n">
        <f aca="false">K22*100/((VLOOKUP(K$16,'Set up'!$A$50:$B$54,2,0)))</f>
        <v>0</v>
      </c>
      <c r="L36" s="383"/>
      <c r="M36" s="382" t="n">
        <f aca="false">M22*100/((VLOOKUP(M$16,'Set up'!$A$50:$B$54,2,0)))</f>
        <v>0</v>
      </c>
      <c r="N36" s="383"/>
      <c r="O36" s="382" t="n">
        <f aca="false">O22*100/((VLOOKUP(O$16,'Set up'!$A$50:$B$54,2,0)))</f>
        <v>0</v>
      </c>
      <c r="P36" s="383"/>
      <c r="Q36" s="382" t="n">
        <f aca="false">Q22*100/((VLOOKUP(Q$16,'Set up'!$A$50:$B$54,2,0)))</f>
        <v>0</v>
      </c>
      <c r="R36" s="383"/>
    </row>
    <row r="37" s="42" customFormat="true" ht="14.65" hidden="false" customHeight="false" outlineLevel="0" collapsed="false">
      <c r="E37" s="379" t="str">
        <f aca="false">B23</f>
        <v>Bull Calves</v>
      </c>
      <c r="F37" s="380"/>
      <c r="G37" s="369" t="n">
        <f aca="false">G23*(1/INDEX('Set up'!$D$45:$O$45,1,$G$1))</f>
        <v>0</v>
      </c>
      <c r="H37" s="370"/>
      <c r="I37" s="371" t="n">
        <f aca="false">I23*100/((VLOOKUP(I$16,'Set up'!$A$50:$B$54,2,0)))</f>
        <v>0</v>
      </c>
      <c r="J37" s="371"/>
      <c r="K37" s="369" t="n">
        <f aca="false">K23*100/((VLOOKUP(K$16,'Set up'!$A$50:$B$54,2,0)))</f>
        <v>0</v>
      </c>
      <c r="L37" s="370"/>
      <c r="M37" s="369" t="n">
        <f aca="false">M23*100/((VLOOKUP(M$16,'Set up'!$A$50:$B$54,2,0)))</f>
        <v>0</v>
      </c>
      <c r="N37" s="370"/>
      <c r="O37" s="369" t="n">
        <f aca="false">O23*100/((VLOOKUP(O$16,'Set up'!$A$50:$B$54,2,0)))</f>
        <v>0</v>
      </c>
      <c r="P37" s="370"/>
      <c r="Q37" s="369" t="n">
        <f aca="false">Q23*100/((VLOOKUP(Q$16,'Set up'!$A$50:$B$54,2,0)))</f>
        <v>0</v>
      </c>
      <c r="R37" s="370"/>
    </row>
    <row r="38" s="105" customFormat="true" ht="14.95" hidden="false" customHeight="false" outlineLevel="0" collapsed="false">
      <c r="B38" s="384"/>
      <c r="C38" s="385"/>
      <c r="D38" s="386"/>
      <c r="E38" s="386"/>
      <c r="F38" s="387" t="s">
        <v>192</v>
      </c>
      <c r="G38" s="388" t="n">
        <f aca="false">(($G17*$D17)+($G18*$D18)+($G19*$D19)+($G20*$D20)+($G21*$D21)+($G22*$D22)+($G23*$D23))*(1/INDEX('Set up'!$D45:$O45,1,$G$1))</f>
        <v>3166.66666666667</v>
      </c>
      <c r="H38" s="388"/>
      <c r="I38" s="389" t="n">
        <f aca="false">((I17*$D17)+(I18*$D18)+(I19*$D19)+(I20*$D20)+(I21*$D21)+(I22*$D22)+(I23*$D23))*(100/VLOOKUP($F6,'Set up'!$A$50:$C$54,2,0))</f>
        <v>705.882352941176</v>
      </c>
      <c r="J38" s="390"/>
      <c r="K38" s="389" t="n">
        <f aca="false">((K17*$D17)+(K18*$D18)+(K19*$D19)+(K20*$D20)+(K21*$D21)+(K22*$D22)+(K23*$D23))*(100/VLOOKUP($F7,'Set up'!$A$50:$C$54,2,0))</f>
        <v>666.666666666667</v>
      </c>
      <c r="L38" s="390"/>
      <c r="M38" s="389" t="n">
        <f aca="false">((M17*$D17)+(M18*$D18)+(M19*$D19)+(M20*$D20)+(M21*$D21)+(M22*$D22)+(M23*$D23))*(100/VLOOKUP($F8,'Set up'!$A$50:$C$54,2,0))</f>
        <v>0</v>
      </c>
      <c r="N38" s="390"/>
      <c r="O38" s="389" t="n">
        <f aca="false">((O17*$D17)+(O18*$D18)+(O19*$D19)+(O20*$D20)+(O21*$D21)+(O22*$D22)+(O23*$D23))*(100/VLOOKUP($F9,'Set up'!$A$50:$C$54,2,0))</f>
        <v>0</v>
      </c>
      <c r="P38" s="390"/>
      <c r="Q38" s="389" t="n">
        <f aca="false">((Q17*$D17)+(Q18*$D18)+(Q19*$D19)+(Q20*$D20)+(Q21*$D21)+(Q22*$D22)+(Q23*$D23))*(100/VLOOKUP($F10,'Set up'!$A$50:$C$54,2,0))</f>
        <v>0</v>
      </c>
      <c r="R38" s="390"/>
      <c r="S38" s="331"/>
    </row>
    <row r="39" s="42" customFormat="true" ht="14.95" hidden="false" customHeight="false" outlineLevel="0" collapsed="false">
      <c r="B39" s="391"/>
      <c r="C39" s="392"/>
      <c r="D39" s="392"/>
      <c r="E39" s="392"/>
      <c r="F39" s="393" t="s">
        <v>193</v>
      </c>
      <c r="G39" s="394" t="n">
        <f aca="false">G38*$C$5</f>
        <v>95000</v>
      </c>
      <c r="H39" s="394"/>
      <c r="I39" s="395" t="n">
        <f aca="false">I38*$C$5</f>
        <v>21176.4705882353</v>
      </c>
      <c r="J39" s="396"/>
      <c r="K39" s="395" t="n">
        <f aca="false">K38*$C$5</f>
        <v>20000</v>
      </c>
      <c r="L39" s="396"/>
      <c r="M39" s="395" t="n">
        <f aca="false">M38*$C$5</f>
        <v>0</v>
      </c>
      <c r="N39" s="396"/>
      <c r="O39" s="395" t="n">
        <f aca="false">O38*$C$5</f>
        <v>0</v>
      </c>
      <c r="P39" s="396"/>
      <c r="Q39" s="395" t="n">
        <f aca="false">Q38*$C$5</f>
        <v>0</v>
      </c>
      <c r="R39" s="396"/>
    </row>
    <row r="40" s="42" customFormat="true" ht="14.95" hidden="false" customHeight="false" outlineLevel="0" collapsed="false">
      <c r="B40" s="42" t="s">
        <v>194</v>
      </c>
    </row>
    <row r="41" s="42" customFormat="true" ht="14.75" hidden="false" customHeight="true" outlineLevel="0" collapsed="false"/>
    <row r="42" customFormat="false" ht="14.75" hidden="false" customHeight="true" outlineLevel="0" collapsed="false">
      <c r="Q42" s="52"/>
      <c r="R42" s="52"/>
      <c r="S42" s="44"/>
    </row>
    <row r="43" s="42" customFormat="true" ht="32" hidden="false" customHeight="true" outlineLevel="0" collapsed="false">
      <c r="B43" s="208" t="s">
        <v>195</v>
      </c>
    </row>
    <row r="44" s="42" customFormat="true" ht="32" hidden="false" customHeight="true" outlineLevel="0" collapsed="false">
      <c r="B44" s="208"/>
    </row>
    <row r="45" s="42" customFormat="true" ht="14.65" hidden="false" customHeight="false" outlineLevel="0" collapsed="false">
      <c r="B45" s="44"/>
      <c r="C45" s="237"/>
      <c r="D45" s="397"/>
      <c r="E45" s="397"/>
      <c r="F45" s="398" t="s">
        <v>196</v>
      </c>
      <c r="G45" s="399" t="n">
        <f aca="true">IF(G1=1,'Set up'!$D$35,INDIRECT("period"&amp;$G$1-1&amp;"!G46"))</f>
        <v>1990</v>
      </c>
      <c r="H45" s="400" t="s">
        <v>197</v>
      </c>
      <c r="I45" s="401"/>
      <c r="J45" s="402"/>
      <c r="K45" s="213" t="str">
        <f aca="false">IF(G1=1,"*NB: For Period1, enter the opening  Av Farm Cover in cell D37 in 'Set up'","NB: Opening av farm cover is the previous period's forecasted closing av farm cover")</f>
        <v>*NB: For Period1, enter the opening  Av Farm Cover in cell D37 in 'Set up'</v>
      </c>
      <c r="P45" s="44"/>
      <c r="V45" s="345"/>
      <c r="W45" s="2"/>
    </row>
    <row r="46" s="42" customFormat="true" ht="14.65" hidden="false" customHeight="false" outlineLevel="0" collapsed="false">
      <c r="B46" s="44"/>
      <c r="C46" s="403"/>
      <c r="D46" s="404"/>
      <c r="E46" s="404"/>
      <c r="F46" s="405" t="s">
        <v>198</v>
      </c>
      <c r="G46" s="406" t="n">
        <f aca="false">($G$45+ ($C$5*$C$12) -(G39/C11))</f>
        <v>2390</v>
      </c>
      <c r="H46" s="407" t="s">
        <v>197</v>
      </c>
      <c r="I46" s="408"/>
      <c r="J46" s="409"/>
      <c r="K46" s="410"/>
      <c r="P46" s="44"/>
    </row>
    <row r="47" s="42" customFormat="true" ht="14.65" hidden="false" customHeight="false" outlineLevel="0" collapsed="false">
      <c r="B47" s="44"/>
      <c r="C47" s="411"/>
      <c r="D47" s="412"/>
      <c r="E47" s="412"/>
      <c r="F47" s="413" t="s">
        <v>199</v>
      </c>
      <c r="G47" s="414" t="n">
        <f aca="false">INDEX('Set up'!$D37:$O37,1,G1)</f>
        <v>2000</v>
      </c>
      <c r="H47" s="415" t="s">
        <v>197</v>
      </c>
      <c r="I47" s="416"/>
      <c r="J47" s="417"/>
      <c r="K47" s="410"/>
      <c r="P47" s="331"/>
      <c r="V47" s="345"/>
    </row>
    <row r="48" s="42" customFormat="true" ht="14.65" hidden="false" customHeight="false" outlineLevel="0" collapsed="false">
      <c r="B48" s="44"/>
      <c r="C48" s="247"/>
      <c r="D48" s="418"/>
      <c r="E48" s="418"/>
      <c r="F48" s="419" t="s">
        <v>200</v>
      </c>
      <c r="G48" s="420" t="n">
        <f aca="false">G46-G47</f>
        <v>390</v>
      </c>
      <c r="H48" s="407" t="s">
        <v>197</v>
      </c>
      <c r="I48" s="408"/>
      <c r="J48" s="421"/>
      <c r="K48" s="422" t="s">
        <v>201</v>
      </c>
      <c r="P48" s="331"/>
    </row>
    <row r="49" s="42" customFormat="true" ht="14.65" hidden="false" customHeight="false" outlineLevel="0" collapsed="false">
      <c r="B49" s="44"/>
      <c r="C49" s="269"/>
      <c r="D49" s="423"/>
      <c r="E49" s="423"/>
      <c r="F49" s="424" t="s">
        <v>202</v>
      </c>
      <c r="G49" s="425" t="n">
        <f aca="false">G48*C11</f>
        <v>39000</v>
      </c>
      <c r="H49" s="426" t="str">
        <f aca="false">"kg DM total over  nett "&amp;C11&amp;" ha"</f>
        <v>kg DM total over  nett 100 ha</v>
      </c>
      <c r="I49" s="427"/>
      <c r="J49" s="428"/>
      <c r="K49" s="410"/>
      <c r="P49" s="331"/>
      <c r="Q49" s="42" t="str">
        <f aca="false">CONCATENATE(Q43,S43)</f>
        <v/>
      </c>
    </row>
  </sheetData>
  <sheetProtection sheet="true" objects="true" scenarios="true" selectLockedCells="true"/>
  <mergeCells count="1">
    <mergeCell ref="Y15:AD15"/>
  </mergeCells>
  <dataValidations count="4">
    <dataValidation allowBlank="false" operator="equal" showDropDown="false" showErrorMessage="false" showInputMessage="false" sqref="F6 F8:F10" type="list">
      <formula1>'Set up'!$A$50:$A$54</formula1>
      <formula2>0</formula2>
    </dataValidation>
    <dataValidation allowBlank="false" operator="equal" showDropDown="false" showErrorMessage="false" showInputMessage="false" sqref="F7" type="list">
      <formula1>'Set up'!$A$50:$A$54</formula1>
      <formula2>0</formula2>
    </dataValidation>
    <dataValidation allowBlank="true" operator="equal" showDropDown="false" showErrorMessage="false" showInputMessage="false" sqref="B17" type="list">
      <formula1>'Set up'!$B$62:$B$90</formula1>
      <formula2>0</formula2>
    </dataValidation>
    <dataValidation allowBlank="true" operator="equal" showDropDown="false" showErrorMessage="false" showInputMessage="false" sqref="B18:B23" type="list">
      <formula1>'Set up'!$B$62:$B$89</formula1>
      <formula2>0</formula2>
    </dataValidation>
  </dataValidation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&amp;C&amp;"Arial,Regular"&amp;A</oddHeader>
    <oddFooter>&amp;C&amp;"Arial,Regular"Page &amp;P</oddFooter>
  </headerFooter>
  <drawing r:id="rId2"/>
  <legacyDrawing r:id="rId3"/>
</worksheet>
</file>

<file path=xl/worksheets/sheet5.xml><?xml version="1.0" encoding="utf-8"?>
<worksheet xmlns="http://schemas.openxmlformats.org/spreadsheetml/2006/main" xmlns:r="http://schemas.openxmlformats.org/officeDocument/2006/relationships">
  <sheetPr filterMode="false">
    <pageSetUpPr fitToPage="false"/>
  </sheetPr>
  <dimension ref="A1:AD49"/>
  <sheetViews>
    <sheetView showFormulas="false" showGridLines="false" showRowColHeaders="true" showZeros="true" rightToLeft="false" tabSelected="false" showOutlineSymbols="true" defaultGridColor="true" view="normal" topLeftCell="A1" colorId="64" zoomScale="110" zoomScaleNormal="110" zoomScalePageLayoutView="100" workbookViewId="0">
      <selection pane="topLeft" activeCell="B2" activeCellId="0" sqref="B2"/>
    </sheetView>
  </sheetViews>
  <sheetFormatPr defaultRowHeight="14.65" zeroHeight="false" outlineLevelRow="0" outlineLevelCol="0"/>
  <cols>
    <col collapsed="false" customWidth="true" hidden="false" outlineLevel="0" max="1" min="1" style="42" width="4.08"/>
    <col collapsed="false" customWidth="true" hidden="false" outlineLevel="0" max="2" min="2" style="42" width="30.91"/>
    <col collapsed="false" customWidth="true" hidden="false" outlineLevel="0" max="3" min="3" style="42" width="9.88"/>
    <col collapsed="false" customWidth="true" hidden="false" outlineLevel="0" max="4" min="4" style="42" width="10.51"/>
    <col collapsed="false" customWidth="true" hidden="false" outlineLevel="0" max="5" min="5" style="42" width="12.08"/>
    <col collapsed="false" customWidth="true" hidden="false" outlineLevel="0" max="6" min="6" style="42" width="11.76"/>
    <col collapsed="false" customWidth="true" hidden="false" outlineLevel="0" max="7" min="7" style="42" width="10.2"/>
    <col collapsed="false" customWidth="true" hidden="false" outlineLevel="0" max="8" min="8" style="42" width="5.1"/>
    <col collapsed="false" customWidth="true" hidden="false" outlineLevel="0" max="9" min="9" style="42" width="10.2"/>
    <col collapsed="false" customWidth="true" hidden="false" outlineLevel="0" max="10" min="10" style="42" width="5.1"/>
    <col collapsed="false" customWidth="true" hidden="false" outlineLevel="0" max="11" min="11" style="42" width="10.2"/>
    <col collapsed="false" customWidth="true" hidden="false" outlineLevel="0" max="12" min="12" style="42" width="5.1"/>
    <col collapsed="false" customWidth="true" hidden="false" outlineLevel="0" max="13" min="13" style="42" width="10.2"/>
    <col collapsed="false" customWidth="true" hidden="false" outlineLevel="0" max="14" min="14" style="42" width="5.1"/>
    <col collapsed="false" customWidth="true" hidden="false" outlineLevel="0" max="15" min="15" style="42" width="10.2"/>
    <col collapsed="false" customWidth="true" hidden="false" outlineLevel="0" max="16" min="16" style="42" width="5.1"/>
    <col collapsed="false" customWidth="true" hidden="false" outlineLevel="0" max="17" min="17" style="42" width="10.2"/>
    <col collapsed="false" customWidth="true" hidden="false" outlineLevel="0" max="18" min="18" style="42" width="5.1"/>
    <col collapsed="false" customWidth="true" hidden="false" outlineLevel="0" max="19" min="19" style="105" width="4.08"/>
    <col collapsed="false" customWidth="true" hidden="false" outlineLevel="0" max="1025" min="20" style="42" width="13.38"/>
  </cols>
  <sheetData>
    <row r="1" customFormat="false" ht="26.55" hidden="false" customHeight="false" outlineLevel="0" collapsed="false">
      <c r="B1" s="197" t="s">
        <v>151</v>
      </c>
      <c r="C1" s="198" t="str">
        <f aca="false">'Set up'!D4</f>
        <v>Farm A</v>
      </c>
      <c r="D1" s="199"/>
      <c r="E1" s="200"/>
      <c r="F1" s="200" t="s">
        <v>152</v>
      </c>
      <c r="G1" s="201" t="n">
        <v>2</v>
      </c>
      <c r="H1" s="202"/>
      <c r="I1" s="44"/>
      <c r="J1" s="44"/>
      <c r="M1" s="203" t="s">
        <v>153</v>
      </c>
      <c r="N1" s="105"/>
      <c r="O1" s="47"/>
      <c r="P1" s="47"/>
      <c r="S1" s="52"/>
    </row>
    <row r="2" customFormat="false" ht="32.35" hidden="false" customHeight="false" outlineLevel="0" collapsed="false">
      <c r="B2" s="204" t="s">
        <v>2</v>
      </c>
      <c r="C2" s="198"/>
      <c r="D2" s="199"/>
      <c r="E2" s="205"/>
      <c r="F2" s="206" t="s">
        <v>154</v>
      </c>
      <c r="I2" s="56"/>
      <c r="J2" s="56"/>
      <c r="K2" s="207"/>
      <c r="L2" s="207"/>
      <c r="M2" s="44"/>
      <c r="N2" s="44"/>
      <c r="O2" s="47"/>
      <c r="P2" s="47"/>
      <c r="S2" s="52"/>
    </row>
    <row r="3" s="42" customFormat="true" ht="26.45" hidden="false" customHeight="false" outlineLevel="0" collapsed="false">
      <c r="B3" s="208" t="s">
        <v>155</v>
      </c>
      <c r="D3" s="56"/>
      <c r="I3" s="209" t="s">
        <v>156</v>
      </c>
      <c r="J3" s="210"/>
    </row>
    <row r="4" s="42" customFormat="true" ht="14.65" hidden="false" customHeight="false" outlineLevel="0" collapsed="false">
      <c r="B4" s="211" t="s">
        <v>157</v>
      </c>
      <c r="C4" s="212" t="n">
        <f aca="false">HLOOKUP($G$1,'Set up'!$D$12:$O$15,3,0)</f>
        <v>43221</v>
      </c>
      <c r="D4" s="213"/>
      <c r="F4" s="214"/>
      <c r="G4" s="215" t="s">
        <v>158</v>
      </c>
      <c r="H4" s="216"/>
      <c r="I4" s="217" t="s">
        <v>159</v>
      </c>
      <c r="J4" s="216"/>
      <c r="K4" s="218" t="s">
        <v>160</v>
      </c>
      <c r="L4" s="219"/>
      <c r="M4" s="220" t="s">
        <v>161</v>
      </c>
      <c r="N4" s="221"/>
      <c r="O4" s="105"/>
      <c r="P4" s="222"/>
      <c r="Q4" s="105"/>
      <c r="R4" s="105"/>
    </row>
    <row r="5" s="42" customFormat="true" ht="14.65" hidden="false" customHeight="false" outlineLevel="0" collapsed="false">
      <c r="B5" s="223" t="s">
        <v>162</v>
      </c>
      <c r="C5" s="224" t="n">
        <f aca="false">HLOOKUP($G$1,'Set up'!$D$12:$O$15,4,0)</f>
        <v>31</v>
      </c>
      <c r="D5" s="199"/>
      <c r="F5" s="222" t="s">
        <v>163</v>
      </c>
      <c r="G5" s="225" t="s">
        <v>164</v>
      </c>
      <c r="H5" s="226"/>
      <c r="I5" s="227" t="s">
        <v>165</v>
      </c>
      <c r="J5" s="227"/>
      <c r="K5" s="228" t="s">
        <v>165</v>
      </c>
      <c r="L5" s="229"/>
      <c r="M5" s="230" t="s">
        <v>164</v>
      </c>
      <c r="N5" s="231"/>
      <c r="O5" s="222"/>
      <c r="P5" s="222"/>
      <c r="Q5" s="105"/>
      <c r="R5" s="232"/>
    </row>
    <row r="6" s="42" customFormat="true" ht="14.65" hidden="false" customHeight="false" outlineLevel="0" collapsed="false">
      <c r="B6" s="233" t="s">
        <v>166</v>
      </c>
      <c r="C6" s="234" t="n">
        <f aca="false">C4+C5</f>
        <v>43252</v>
      </c>
      <c r="D6" s="199"/>
      <c r="F6" s="235" t="s">
        <v>131</v>
      </c>
      <c r="G6" s="236" t="n">
        <f aca="false">IF($G$1=1, VLOOKUP(F6,'Set up'!$A$50:$D$54,3,0),VLOOKUP(F6,'Set up'!$A$50:$O$54,$G$1+2,0))</f>
        <v>78823.5294117647</v>
      </c>
      <c r="H6" s="237"/>
      <c r="I6" s="238" t="n">
        <f aca="false">(($D$17*I$17*$C$5)+($D$18*I$18*$C$5)+($D$19*I$19*$C$5)+($D$20*I$20*$C$5)+($D$21*I$21*$C$5)+($D$22*I$22*$C$5)+($D$23*I$23*$C$5))*(100/VLOOKUP(F6,'Set up'!$A$50:$C$54,2,0))</f>
        <v>21882.3529411765</v>
      </c>
      <c r="J6" s="239"/>
      <c r="K6" s="240" t="n">
        <v>0</v>
      </c>
      <c r="L6" s="237"/>
      <c r="M6" s="241" t="n">
        <f aca="false">G6-I6+K6</f>
        <v>56941.1764705882</v>
      </c>
      <c r="N6" s="242"/>
      <c r="O6" s="44"/>
      <c r="P6" s="44"/>
      <c r="Q6" s="105"/>
      <c r="R6" s="243"/>
    </row>
    <row r="7" s="42" customFormat="true" ht="14.65" hidden="false" customHeight="false" outlineLevel="0" collapsed="false">
      <c r="B7" s="244"/>
      <c r="C7" s="213"/>
      <c r="F7" s="245" t="s">
        <v>129</v>
      </c>
      <c r="G7" s="246" t="n">
        <f aca="false">IF($G$1=1, VLOOKUP(F7,'Set up'!$A$50:$D$54,3,0),VLOOKUP(F7,'Set up'!$A$50:$O$54,$G$1+2,0))</f>
        <v>90000</v>
      </c>
      <c r="H7" s="247"/>
      <c r="I7" s="248" t="n">
        <f aca="false">((($D$17*K$17*$C$5)+($D$18*K$18*$C$5)+($D$19*K$19*$C$5)+($D$20*K$20*$C$5)+($D$21*K$21*$C$5)+($D$22*K$22*$C$5)+($D$23*K$23*$C$5)))*(100/VLOOKUP(F7,'Set up'!$A$50:$C$54,2,0))</f>
        <v>0</v>
      </c>
      <c r="J7" s="249"/>
      <c r="K7" s="250" t="n">
        <v>0</v>
      </c>
      <c r="L7" s="247"/>
      <c r="M7" s="251" t="n">
        <f aca="false">G7-I7+K7</f>
        <v>90000</v>
      </c>
      <c r="N7" s="252"/>
      <c r="O7" s="44"/>
      <c r="P7" s="44"/>
      <c r="Q7" s="105"/>
      <c r="R7" s="243"/>
    </row>
    <row r="8" s="42" customFormat="true" ht="14.65" hidden="false" customHeight="false" outlineLevel="0" collapsed="false">
      <c r="B8" s="253" t="s">
        <v>167</v>
      </c>
      <c r="C8" s="254" t="n">
        <f aca="false">'Set up'!D7</f>
        <v>100</v>
      </c>
      <c r="D8" s="255" t="s">
        <v>168</v>
      </c>
      <c r="F8" s="256" t="s">
        <v>130</v>
      </c>
      <c r="G8" s="236" t="n">
        <f aca="false">IF($G$1=1, VLOOKUP(F8,'Set up'!$A$50:$D$54,3,0),VLOOKUP(F8,'Set up'!$A$50:$O$54,$G$1+2,0))</f>
        <v>0</v>
      </c>
      <c r="H8" s="257"/>
      <c r="I8" s="258" t="n">
        <f aca="false">(($D$17*M$17*$C$5)+($D$18*M$18*$C$5)+($D$19*M$19*$C$5)+($D$20*M$20*$C$5)+($D$21*M$21*$C$5)+($D$22*M$22*$C$5)+($D$23*M$23*$C$5))*(100/VLOOKUP(F8,'Set up'!$A$50:$C$54,2,0))</f>
        <v>0</v>
      </c>
      <c r="J8" s="259"/>
      <c r="K8" s="260" t="n">
        <v>0</v>
      </c>
      <c r="L8" s="257"/>
      <c r="M8" s="241" t="n">
        <f aca="false">G8-I8+K8</f>
        <v>0</v>
      </c>
      <c r="N8" s="261"/>
      <c r="O8" s="44"/>
      <c r="P8" s="44"/>
      <c r="Q8" s="105"/>
      <c r="R8" s="243"/>
      <c r="T8" s="262"/>
    </row>
    <row r="9" s="42" customFormat="true" ht="14.65" hidden="false" customHeight="false" outlineLevel="0" collapsed="false">
      <c r="B9" s="263" t="s">
        <v>169</v>
      </c>
      <c r="C9" s="264" t="n">
        <v>0</v>
      </c>
      <c r="D9" s="265" t="n">
        <f aca="true">IF($G$1&lt;&gt;1,INDIRECT("period"&amp;$G$1-1&amp;"!c9"),0)</f>
        <v>0</v>
      </c>
      <c r="F9" s="245" t="s">
        <v>132</v>
      </c>
      <c r="G9" s="246" t="n">
        <f aca="false">IF($G$1=1, VLOOKUP(F9,'Set up'!$A$50:$D$54,3,0),VLOOKUP(F9,'Set up'!$A$50:$O$54,$G$1+2,0))</f>
        <v>0</v>
      </c>
      <c r="H9" s="247"/>
      <c r="I9" s="248" t="n">
        <f aca="false">(($D$17*O$17*$C$5)+($D$18*O$18*$C$5)+($D$19*O$19*$C$5)+($D$20*O$20*$C$5)+($D$21*O$21*$C$5)+($D$22*O$22*$C$5)+($D$23*O$23*$C$5))*(100/VLOOKUP(F9,'Set up'!$A$50:$C$54,2,0))</f>
        <v>0</v>
      </c>
      <c r="J9" s="249"/>
      <c r="K9" s="250" t="n">
        <v>0</v>
      </c>
      <c r="L9" s="247"/>
      <c r="M9" s="251" t="n">
        <f aca="false">G9-I9+K9</f>
        <v>0</v>
      </c>
      <c r="N9" s="252"/>
      <c r="O9" s="44"/>
      <c r="P9" s="44"/>
      <c r="Q9" s="105"/>
      <c r="R9" s="243"/>
    </row>
    <row r="10" s="42" customFormat="true" ht="14.65" hidden="false" customHeight="false" outlineLevel="0" collapsed="false">
      <c r="B10" s="263" t="s">
        <v>170</v>
      </c>
      <c r="C10" s="266" t="n">
        <v>0</v>
      </c>
      <c r="D10" s="265" t="n">
        <f aca="true">IF($G$1&lt;&gt;1,INDIRECT("period"&amp;$G$1-1&amp;"!c10"),0)</f>
        <v>0</v>
      </c>
      <c r="F10" s="267" t="s">
        <v>133</v>
      </c>
      <c r="G10" s="268" t="n">
        <f aca="false">IF($G$1=1, VLOOKUP(F10,'Set up'!$A$50:$D$54,3,0),VLOOKUP(F10,'Set up'!$A$50:$O$54,$G$1+2,0))</f>
        <v>15000</v>
      </c>
      <c r="H10" s="269"/>
      <c r="I10" s="270" t="n">
        <f aca="false">(($D$17*Q$17*$C$5)+($D$18*Q$18*$C$5)+($D$19*Q$19*$C$5)+($D$20*Q$20*$C$5)+($D$21*Q$21*$C$5)+($D$22*Q$22*$C$5)+($D$23*Q$23*$C$5))*(100/VLOOKUP(F10,'Set up'!$A$50:$C$54,2,0))</f>
        <v>0</v>
      </c>
      <c r="J10" s="271"/>
      <c r="K10" s="272" t="n">
        <v>0</v>
      </c>
      <c r="L10" s="269"/>
      <c r="M10" s="273" t="n">
        <f aca="false">G10-I10+K10</f>
        <v>15000</v>
      </c>
      <c r="N10" s="274"/>
      <c r="O10" s="44"/>
      <c r="P10" s="44"/>
      <c r="Q10" s="105"/>
      <c r="R10" s="243"/>
    </row>
    <row r="11" s="42" customFormat="true" ht="14.65" hidden="false" customHeight="false" outlineLevel="0" collapsed="false">
      <c r="B11" s="275" t="s">
        <v>171</v>
      </c>
      <c r="C11" s="276" t="n">
        <f aca="false">C8-C9-C10</f>
        <v>100</v>
      </c>
      <c r="D11" s="265" t="n">
        <f aca="true">IF($G$1&lt;&gt;1,INDIRECT("period"&amp;$G$1-1&amp;"!c11"),0)</f>
        <v>100</v>
      </c>
      <c r="F11" s="42" t="s">
        <v>172</v>
      </c>
    </row>
    <row r="12" s="42" customFormat="true" ht="14.65" hidden="false" customHeight="false" outlineLevel="0" collapsed="false">
      <c r="A12" s="44"/>
      <c r="B12" s="277" t="s">
        <v>173</v>
      </c>
      <c r="C12" s="278" t="n">
        <f aca="false">INDEX('Set up'!D30:O30,1,G1)</f>
        <v>30</v>
      </c>
      <c r="D12" s="279" t="s">
        <v>174</v>
      </c>
      <c r="E12" s="44"/>
      <c r="F12" s="105" t="s">
        <v>175</v>
      </c>
      <c r="G12" s="105"/>
      <c r="H12" s="105"/>
      <c r="I12" s="105"/>
      <c r="J12" s="105"/>
    </row>
    <row r="13" s="42" customFormat="true" ht="14.65" hidden="false" customHeight="false" outlineLevel="0" collapsed="false">
      <c r="B13" s="2"/>
      <c r="C13" s="2"/>
      <c r="D13" s="2"/>
    </row>
    <row r="14" s="42" customFormat="true" ht="14.65" hidden="false" customHeight="false" outlineLevel="0" collapsed="false">
      <c r="B14" s="2"/>
      <c r="C14" s="2"/>
      <c r="D14" s="2"/>
      <c r="F14" s="280"/>
    </row>
    <row r="15" s="42" customFormat="true" ht="57.25" hidden="false" customHeight="true" outlineLevel="0" collapsed="false">
      <c r="B15" s="208" t="s">
        <v>176</v>
      </c>
      <c r="C15" s="281"/>
      <c r="D15" s="282"/>
      <c r="G15" s="283" t="s">
        <v>177</v>
      </c>
      <c r="N15" s="284"/>
      <c r="Y15" s="285"/>
      <c r="Z15" s="285"/>
      <c r="AA15" s="285"/>
      <c r="AB15" s="285"/>
      <c r="AC15" s="285"/>
      <c r="AD15" s="285"/>
    </row>
    <row r="16" customFormat="false" ht="47.7" hidden="false" customHeight="true" outlineLevel="0" collapsed="false">
      <c r="B16" s="286" t="s">
        <v>178</v>
      </c>
      <c r="C16" s="287" t="s">
        <v>179</v>
      </c>
      <c r="D16" s="288" t="s">
        <v>180</v>
      </c>
      <c r="E16" s="289" t="s">
        <v>181</v>
      </c>
      <c r="F16" s="290" t="s">
        <v>182</v>
      </c>
      <c r="G16" s="291" t="s">
        <v>123</v>
      </c>
      <c r="H16" s="292" t="s">
        <v>183</v>
      </c>
      <c r="I16" s="293" t="str">
        <f aca="false">F6</f>
        <v>Meadow Hay</v>
      </c>
      <c r="J16" s="294" t="s">
        <v>183</v>
      </c>
      <c r="K16" s="295" t="str">
        <f aca="false">F7</f>
        <v>Pasture Silage</v>
      </c>
      <c r="L16" s="292" t="s">
        <v>183</v>
      </c>
      <c r="M16" s="293" t="str">
        <f aca="false">F8</f>
        <v>Maize Silage</v>
      </c>
      <c r="N16" s="294" t="s">
        <v>183</v>
      </c>
      <c r="O16" s="295" t="str">
        <f aca="false">F9</f>
        <v>Crop</v>
      </c>
      <c r="P16" s="292" t="s">
        <v>183</v>
      </c>
      <c r="Q16" s="293" t="str">
        <f aca="false">F10</f>
        <v>Meal</v>
      </c>
      <c r="R16" s="294" t="s">
        <v>183</v>
      </c>
      <c r="S16" s="296"/>
    </row>
    <row r="17" customFormat="false" ht="14.65" hidden="false" customHeight="false" outlineLevel="0" collapsed="false">
      <c r="B17" s="297" t="s">
        <v>138</v>
      </c>
      <c r="C17" s="298" t="n">
        <f aca="false">VLOOKUP(B17,'Set up'!$B$62:$O$89,2+$G$1,FALSE())</f>
        <v>0</v>
      </c>
      <c r="D17" s="299" t="n">
        <v>0</v>
      </c>
      <c r="E17" s="300" t="str">
        <f aca="false">TRIM(CLEAN(INDEX('Set up'!$D$63:$O$87,MATCH(B17,'Set up'!$B$62:$B$89,0),+$G$1)))</f>
        <v>0</v>
      </c>
      <c r="F17" s="301" t="n">
        <f aca="false">G17+I17+K17+M17+O17+Q17</f>
        <v>0</v>
      </c>
      <c r="G17" s="302" t="n">
        <v>0</v>
      </c>
      <c r="H17" s="303" t="n">
        <f aca="true">IF($G$1&lt;&gt;1,INDIRECT("period"&amp;$G$1-1&amp;"!G17"),0)</f>
        <v>15</v>
      </c>
      <c r="I17" s="302" t="n">
        <v>0</v>
      </c>
      <c r="J17" s="303" t="n">
        <f aca="true">IF($G$1&lt;&gt;1,INDIRECT("period"&amp;$G$1-1&amp;"!I17"),0)</f>
        <v>2</v>
      </c>
      <c r="K17" s="302" t="n">
        <v>0</v>
      </c>
      <c r="L17" s="303" t="n">
        <f aca="true">IF($G$1&lt;&gt;1,INDIRECT("period"&amp;$G$1-1&amp;"!K17"),0)</f>
        <v>2</v>
      </c>
      <c r="M17" s="302" t="n">
        <v>0</v>
      </c>
      <c r="N17" s="303" t="n">
        <f aca="true">IF($G$1&lt;&gt;1,INDIRECT("period"&amp;$G$1-1&amp;"!M17"),0)</f>
        <v>0</v>
      </c>
      <c r="O17" s="302" t="n">
        <v>0</v>
      </c>
      <c r="P17" s="303" t="n">
        <f aca="true">IF($G$1&lt;&gt;1,INDIRECT("period"&amp;$G$1-1&amp;"!O17"),0)</f>
        <v>0</v>
      </c>
      <c r="Q17" s="304" t="n">
        <v>0</v>
      </c>
      <c r="R17" s="305" t="n">
        <f aca="true">IF($G$1&lt;&gt;1,INDIRECT("period"&amp;$G$1-1&amp;"!Q17"),0)</f>
        <v>0</v>
      </c>
      <c r="S17" s="306"/>
    </row>
    <row r="18" customFormat="false" ht="14.65" hidden="false" customHeight="false" outlineLevel="0" collapsed="false">
      <c r="B18" s="307" t="s">
        <v>142</v>
      </c>
      <c r="C18" s="308" t="n">
        <f aca="false">VLOOKUP(B18,'Set up'!$B$62:$O$89,2+$G$1,FALSE())</f>
        <v>70</v>
      </c>
      <c r="D18" s="309" t="n">
        <v>70</v>
      </c>
      <c r="E18" s="310" t="str">
        <f aca="false">TRIM(CLEAN(INDEX('Set up'!$D$63:$O$87,MATCH(B18,'Set up'!$B$62:$B$89,0),+$G$1)))</f>
        <v>7</v>
      </c>
      <c r="F18" s="311" t="n">
        <f aca="false">G18+I18+K18+M18+O18+Q18</f>
        <v>7</v>
      </c>
      <c r="G18" s="312" t="n">
        <v>5</v>
      </c>
      <c r="H18" s="313" t="n">
        <f aca="true">IF($G$1&lt;&gt;1,INDIRECT("period"&amp;$G$1-1&amp;"!G18"),0)</f>
        <v>0</v>
      </c>
      <c r="I18" s="312" t="n">
        <v>2</v>
      </c>
      <c r="J18" s="313" t="n">
        <f aca="true">IF($G$1&lt;&gt;1,INDIRECT("period"&amp;$G$1-1&amp;"!I18"),0)</f>
        <v>0</v>
      </c>
      <c r="K18" s="312" t="n">
        <v>0</v>
      </c>
      <c r="L18" s="313" t="n">
        <f aca="true">IF($G$1&lt;&gt;1,INDIRECT("period"&amp;$G$1-1&amp;"!K18"),0)</f>
        <v>0</v>
      </c>
      <c r="M18" s="312" t="n">
        <v>0</v>
      </c>
      <c r="N18" s="313" t="n">
        <f aca="true">IF($G$1&lt;&gt;1,INDIRECT("period"&amp;$G$1-1&amp;"!M18"),0)</f>
        <v>0</v>
      </c>
      <c r="O18" s="312" t="n">
        <v>0</v>
      </c>
      <c r="P18" s="313" t="n">
        <f aca="true">IF($G$1&lt;&gt;1,INDIRECT("period"&amp;$G$1-1&amp;"!O18"),0)</f>
        <v>0</v>
      </c>
      <c r="Q18" s="312" t="n">
        <v>0</v>
      </c>
      <c r="R18" s="313" t="n">
        <f aca="true">IF($G$1&lt;&gt;1,INDIRECT("period"&amp;$G$1-1&amp;"!Q18"),0)</f>
        <v>0</v>
      </c>
      <c r="S18" s="306"/>
    </row>
    <row r="19" customFormat="false" ht="14.65" hidden="false" customHeight="false" outlineLevel="0" collapsed="false">
      <c r="B19" s="314" t="s">
        <v>143</v>
      </c>
      <c r="C19" s="308" t="n">
        <f aca="false">VLOOKUP(B19,'Set up'!$B$62:$O$89,2+$G$1,FALSE())</f>
        <v>180</v>
      </c>
      <c r="D19" s="315" t="n">
        <v>180</v>
      </c>
      <c r="E19" s="316" t="str">
        <f aca="false">TRIM(CLEAN(INDEX('Set up'!$D$63:$O$87,MATCH(B19,'Set up'!$B$62:$B$89,0),+$G$1)))</f>
        <v>9</v>
      </c>
      <c r="F19" s="317" t="n">
        <f aca="false">G19+I19+K19+M19+O19+Q19</f>
        <v>9</v>
      </c>
      <c r="G19" s="304" t="n">
        <v>7</v>
      </c>
      <c r="H19" s="305" t="n">
        <f aca="true">IF($G$1&lt;&gt;1,INDIRECT("period"&amp;$G$1-1&amp;"!G19"),0)</f>
        <v>5</v>
      </c>
      <c r="I19" s="304" t="n">
        <v>2</v>
      </c>
      <c r="J19" s="305" t="n">
        <f aca="true">IF($G$1&lt;&gt;1,INDIRECT("period"&amp;$G$1-1&amp;"!I19"),0)</f>
        <v>2</v>
      </c>
      <c r="K19" s="304" t="n">
        <v>0</v>
      </c>
      <c r="L19" s="305" t="n">
        <f aca="true">IF($G$1&lt;&gt;1,INDIRECT("period"&amp;$G$1-1&amp;"!K19"),0)</f>
        <v>2</v>
      </c>
      <c r="M19" s="304" t="n">
        <v>0</v>
      </c>
      <c r="N19" s="305" t="n">
        <f aca="true">IF($G$1&lt;&gt;1,INDIRECT("period"&amp;$G$1-1&amp;"!G19"),0)</f>
        <v>5</v>
      </c>
      <c r="O19" s="304" t="n">
        <v>0</v>
      </c>
      <c r="P19" s="305" t="n">
        <f aca="true">IF($G$1&lt;&gt;1,INDIRECT("period"&amp;$G$1-1&amp;"!O19"),0)</f>
        <v>0</v>
      </c>
      <c r="Q19" s="304" t="n">
        <v>0</v>
      </c>
      <c r="R19" s="305" t="n">
        <f aca="true">IF($G$1&lt;&gt;1,INDIRECT("period"&amp;$G$1-1&amp;"!Q19"),0)</f>
        <v>0</v>
      </c>
      <c r="S19" s="306"/>
    </row>
    <row r="20" customFormat="false" ht="14.65" hidden="false" customHeight="false" outlineLevel="0" collapsed="false">
      <c r="B20" s="307" t="s">
        <v>144</v>
      </c>
      <c r="C20" s="308" t="n">
        <f aca="false">VLOOKUP(B20,'Set up'!$B$62:$O$89,2+$G$1,FALSE())</f>
        <v>50</v>
      </c>
      <c r="D20" s="318" t="n">
        <v>50</v>
      </c>
      <c r="E20" s="310" t="str">
        <f aca="false">TRIM(CLEAN(INDEX('Set up'!$D$63:$O$87,MATCH(B20,'Set up'!$B$62:$B$89,0),+$G$1)))</f>
        <v>5</v>
      </c>
      <c r="F20" s="311" t="n">
        <f aca="false">G20+I20+K20+M20+O20+Q20</f>
        <v>5</v>
      </c>
      <c r="G20" s="312" t="n">
        <v>4</v>
      </c>
      <c r="H20" s="313" t="n">
        <f aca="true">IF($G$1&lt;&gt;1,INDIRECT("period"&amp;$G$1-1&amp;"!G20"),0)</f>
        <v>4</v>
      </c>
      <c r="I20" s="312" t="n">
        <v>1</v>
      </c>
      <c r="J20" s="313" t="n">
        <f aca="true">IF($G$1&lt;&gt;1,INDIRECT("period"&amp;$G$1-1&amp;"!I27"),0)</f>
        <v>0</v>
      </c>
      <c r="K20" s="312" t="n">
        <v>0</v>
      </c>
      <c r="L20" s="313" t="n">
        <f aca="true">IF($G$1&lt;&gt;1,INDIRECT("period"&amp;$G$1-1&amp;"!K20"),0)</f>
        <v>0</v>
      </c>
      <c r="M20" s="312" t="n">
        <v>0</v>
      </c>
      <c r="N20" s="313" t="n">
        <f aca="true">IF($G$1&lt;&gt;1,INDIRECT("period"&amp;$G$1-1&amp;"!M20"),0)</f>
        <v>0</v>
      </c>
      <c r="O20" s="312" t="n">
        <v>0</v>
      </c>
      <c r="P20" s="313" t="n">
        <f aca="true">IF($G$1&lt;&gt;1,INDIRECT("period"&amp;$G$1-1&amp;"!O20"),0)</f>
        <v>0</v>
      </c>
      <c r="Q20" s="312" t="n">
        <v>0</v>
      </c>
      <c r="R20" s="313" t="n">
        <f aca="true">IF($G$1&lt;&gt;1,INDIRECT("period"&amp;$G$1-1&amp;"!Q20"),0)</f>
        <v>0</v>
      </c>
      <c r="S20" s="306"/>
    </row>
    <row r="21" customFormat="false" ht="14.65" hidden="false" customHeight="false" outlineLevel="0" collapsed="false">
      <c r="B21" s="314" t="s">
        <v>145</v>
      </c>
      <c r="C21" s="308" t="n">
        <f aca="false">VLOOKUP(B21,'Set up'!$B$62:$O$89,2+$G$1,FALSE())</f>
        <v>50</v>
      </c>
      <c r="D21" s="315" t="n">
        <v>50</v>
      </c>
      <c r="E21" s="316" t="str">
        <f aca="false">TRIM(CLEAN(INDEX('Set up'!$D$63:$O$87,MATCH(B21,'Set up'!$B$62:$B$89,0),+$G$1)))</f>
        <v>4</v>
      </c>
      <c r="F21" s="317" t="n">
        <f aca="false">G21+I21+K21+M21+O21+Q21</f>
        <v>4</v>
      </c>
      <c r="G21" s="304" t="n">
        <v>3</v>
      </c>
      <c r="H21" s="305" t="n">
        <f aca="true">IF($G$1&lt;&gt;1,INDIRECT("period"&amp;$G$1-1&amp;"!G21"),0)</f>
        <v>3</v>
      </c>
      <c r="I21" s="304" t="n">
        <v>1</v>
      </c>
      <c r="J21" s="305" t="n">
        <f aca="true">IF($G$1&lt;&gt;1,INDIRECT("period"&amp;$G$1-1&amp;"!I21"),0)</f>
        <v>1</v>
      </c>
      <c r="K21" s="304" t="n">
        <v>0</v>
      </c>
      <c r="L21" s="305" t="n">
        <f aca="true">IF($G$1&lt;&gt;1,INDIRECT("period"&amp;$G$1-1&amp;"!K21"),0)</f>
        <v>0</v>
      </c>
      <c r="M21" s="304" t="n">
        <v>0</v>
      </c>
      <c r="N21" s="305" t="n">
        <f aca="true">IF($G$1&lt;&gt;1,INDIRECT("period"&amp;$G$1-1&amp;"!M21"),0)</f>
        <v>0</v>
      </c>
      <c r="O21" s="304" t="n">
        <v>0</v>
      </c>
      <c r="P21" s="305" t="n">
        <f aca="true">IF($G$1&lt;&gt;1,INDIRECT("period"&amp;$G$1-1&amp;"!O21"),0)</f>
        <v>0</v>
      </c>
      <c r="Q21" s="304" t="n">
        <v>0</v>
      </c>
      <c r="R21" s="305" t="n">
        <f aca="true">IF($G$1&lt;&gt;1,INDIRECT("period"&amp;$G$1-1&amp;"!Q21"),0)</f>
        <v>0</v>
      </c>
      <c r="S21" s="319"/>
    </row>
    <row r="22" customFormat="false" ht="14.65" hidden="false" customHeight="false" outlineLevel="0" collapsed="false">
      <c r="B22" s="307" t="s">
        <v>147</v>
      </c>
      <c r="C22" s="308" t="n">
        <f aca="false">VLOOKUP(B22,'Set up'!$B$62:$O$89,2+$G$1,FALSE())</f>
        <v>0</v>
      </c>
      <c r="D22" s="318" t="n">
        <v>0</v>
      </c>
      <c r="E22" s="310" t="str">
        <f aca="false">TRIM(CLEAN(INDEX('Set up'!$D$63:$O$87,MATCH(B22,'Set up'!$B$62:$B$89,0),+$G$1)))</f>
        <v>0</v>
      </c>
      <c r="F22" s="311" t="n">
        <f aca="false">G22+I22+K22+M22+O22+Q22</f>
        <v>0</v>
      </c>
      <c r="G22" s="312" t="n">
        <v>0</v>
      </c>
      <c r="H22" s="313" t="n">
        <f aca="true">IF($G$1&lt;&gt;1,INDIRECT("period"&amp;$G$1-1&amp;"!G22"),0)</f>
        <v>0</v>
      </c>
      <c r="I22" s="312" t="n">
        <v>0</v>
      </c>
      <c r="J22" s="313" t="n">
        <f aca="true">IF($G$1&lt;&gt;1,INDIRECT("period"&amp;$G$1-1&amp;"!i22"),0)</f>
        <v>0</v>
      </c>
      <c r="K22" s="312" t="n">
        <v>0</v>
      </c>
      <c r="L22" s="313" t="n">
        <f aca="true">IF($G$1&lt;&gt;1,INDIRECT("period"&amp;$G$1-1&amp;"!G22"),0)</f>
        <v>0</v>
      </c>
      <c r="M22" s="312" t="n">
        <v>0</v>
      </c>
      <c r="N22" s="313" t="n">
        <f aca="true">IF($G$1&lt;&gt;1,INDIRECT("period"&amp;$G$1-1&amp;"!M22"),0)</f>
        <v>0</v>
      </c>
      <c r="O22" s="312" t="n">
        <v>0</v>
      </c>
      <c r="P22" s="313" t="n">
        <f aca="true">IF($G$1&lt;&gt;1,INDIRECT("period"&amp;$G$1-1&amp;"!O22"),0)</f>
        <v>0</v>
      </c>
      <c r="Q22" s="312" t="n">
        <v>0</v>
      </c>
      <c r="R22" s="313" t="n">
        <f aca="true">IF($G$1&lt;&gt;1,INDIRECT("period"&amp;$G$1-1&amp;"!Q22"),0)</f>
        <v>0</v>
      </c>
      <c r="S22" s="306"/>
    </row>
    <row r="23" customFormat="false" ht="14.65" hidden="false" customHeight="false" outlineLevel="0" collapsed="false">
      <c r="B23" s="320" t="s">
        <v>146</v>
      </c>
      <c r="C23" s="321" t="n">
        <f aca="false">VLOOKUP(B23,'Set up'!$B$62:$O$89,2+$G$1,FALSE())</f>
        <v>0</v>
      </c>
      <c r="D23" s="322" t="n">
        <v>0</v>
      </c>
      <c r="E23" s="323" t="str">
        <f aca="false">TRIM(CLEAN(INDEX('Set up'!$D$63:$O$87,MATCH(B23,'Set up'!$B$62:$B$89,0),+$G$1)))</f>
        <v>0</v>
      </c>
      <c r="F23" s="324" t="n">
        <f aca="false">G23+I23+K23+M23+O23+Q23</f>
        <v>0</v>
      </c>
      <c r="G23" s="325" t="n">
        <v>0</v>
      </c>
      <c r="H23" s="326" t="n">
        <f aca="true">IF($G$1&lt;&gt;1,INDIRECT("period"&amp;$G$1-1&amp;"!G23"),0)</f>
        <v>0</v>
      </c>
      <c r="I23" s="325" t="n">
        <v>0</v>
      </c>
      <c r="J23" s="326" t="n">
        <f aca="true">IF($G$1&lt;&gt;1,INDIRECT("period"&amp;$G$1-1&amp;"!I23"),0)</f>
        <v>0</v>
      </c>
      <c r="K23" s="325" t="n">
        <v>0</v>
      </c>
      <c r="L23" s="326" t="n">
        <f aca="true">IF($G$1&lt;&gt;1,INDIRECT("period"&amp;$G$1-1&amp;"!K23"),0)</f>
        <v>0</v>
      </c>
      <c r="M23" s="325" t="n">
        <v>0</v>
      </c>
      <c r="N23" s="326" t="n">
        <f aca="true">IF($G$1&lt;&gt;1,INDIRECT("period"&amp;$G$1-1&amp;"!M23"),0)</f>
        <v>0</v>
      </c>
      <c r="O23" s="325" t="n">
        <v>0</v>
      </c>
      <c r="P23" s="326" t="n">
        <f aca="true">IF($G$1&lt;&gt;1,INDIRECT("period"&amp;$G$1-1&amp;"!G23"),0)</f>
        <v>0</v>
      </c>
      <c r="Q23" s="325" t="n">
        <v>0</v>
      </c>
      <c r="R23" s="326" t="n">
        <f aca="true">IF($G$1&lt;&gt;1,INDIRECT("period"&amp;$G$1-1&amp;"!Q23"),0)</f>
        <v>0</v>
      </c>
      <c r="S23" s="306"/>
    </row>
    <row r="24" customFormat="false" ht="14.65" hidden="false" customHeight="false" outlineLevel="0" collapsed="false">
      <c r="B24" s="327" t="s">
        <v>184</v>
      </c>
      <c r="C24" s="328" t="n">
        <f aca="false">SUM(C17:C23)</f>
        <v>350</v>
      </c>
      <c r="D24" s="329" t="n">
        <f aca="false">SUM(D17:D23)</f>
        <v>350</v>
      </c>
      <c r="E24" s="330"/>
      <c r="F24" s="330"/>
      <c r="S24" s="331"/>
    </row>
    <row r="25" customFormat="false" ht="14.65" hidden="false" customHeight="false" outlineLevel="0" collapsed="false">
      <c r="B25" s="332"/>
      <c r="C25" s="333"/>
      <c r="D25" s="334"/>
      <c r="E25" s="330"/>
      <c r="F25" s="330"/>
      <c r="H25" s="335"/>
      <c r="I25" s="336"/>
      <c r="J25" s="337" t="s">
        <v>185</v>
      </c>
      <c r="K25" s="336"/>
      <c r="L25" s="336"/>
      <c r="M25" s="338"/>
      <c r="S25" s="331"/>
    </row>
    <row r="26" s="42" customFormat="true" ht="14.65" hidden="false" customHeight="false" outlineLevel="0" collapsed="false">
      <c r="H26" s="339"/>
      <c r="I26" s="340"/>
      <c r="J26" s="341" t="s">
        <v>186</v>
      </c>
      <c r="K26" s="342" t="n">
        <f aca="false">G46</f>
        <v>2680.42105263158</v>
      </c>
      <c r="L26" s="343" t="s">
        <v>174</v>
      </c>
      <c r="M26" s="344"/>
    </row>
    <row r="27" s="42" customFormat="true" ht="14.65" hidden="false" customHeight="false" outlineLevel="0" collapsed="false">
      <c r="H27" s="136"/>
      <c r="I27" s="346"/>
      <c r="J27" s="347" t="s">
        <v>187</v>
      </c>
      <c r="K27" s="348" t="str">
        <f aca="false">"("&amp;G47</f>
        <v>(2200</v>
      </c>
      <c r="L27" s="349" t="s">
        <v>188</v>
      </c>
      <c r="M27" s="350"/>
    </row>
    <row r="28" s="42" customFormat="true" ht="27.25" hidden="false" customHeight="false" outlineLevel="0" collapsed="false">
      <c r="B28" s="208" t="s">
        <v>189</v>
      </c>
      <c r="G28" s="351"/>
      <c r="H28" s="351"/>
      <c r="I28" s="352"/>
      <c r="J28" s="352"/>
      <c r="K28" s="353" t="s">
        <v>190</v>
      </c>
      <c r="L28" s="353"/>
      <c r="M28" s="352"/>
      <c r="N28" s="352"/>
      <c r="O28" s="352"/>
      <c r="P28" s="352"/>
      <c r="Q28" s="354"/>
      <c r="R28" s="354"/>
    </row>
    <row r="29" s="42" customFormat="true" ht="14.65" hidden="false" customHeight="false" outlineLevel="0" collapsed="false">
      <c r="B29" s="42" t="s">
        <v>191</v>
      </c>
      <c r="G29" s="355"/>
      <c r="H29" s="355"/>
      <c r="I29" s="356"/>
      <c r="J29" s="356"/>
      <c r="K29" s="357"/>
      <c r="L29" s="357"/>
      <c r="M29" s="356"/>
      <c r="N29" s="356"/>
      <c r="O29" s="356"/>
      <c r="P29" s="356"/>
      <c r="Q29" s="358"/>
      <c r="R29" s="358"/>
      <c r="T29" s="359"/>
    </row>
    <row r="30" s="42" customFormat="true" ht="23.85" hidden="false" customHeight="false" outlineLevel="0" collapsed="false">
      <c r="G30" s="360" t="s">
        <v>123</v>
      </c>
      <c r="H30" s="361"/>
      <c r="I30" s="362" t="str">
        <f aca="false">I16</f>
        <v>Meadow Hay</v>
      </c>
      <c r="J30" s="363"/>
      <c r="K30" s="364" t="str">
        <f aca="false">K16</f>
        <v>Pasture Silage</v>
      </c>
      <c r="L30" s="365"/>
      <c r="M30" s="362" t="str">
        <f aca="false">M16</f>
        <v>Maize Silage</v>
      </c>
      <c r="N30" s="363"/>
      <c r="O30" s="366" t="str">
        <f aca="false">O16</f>
        <v>Crop</v>
      </c>
      <c r="P30" s="365"/>
      <c r="Q30" s="362" t="str">
        <f aca="false">Q16</f>
        <v>Meal</v>
      </c>
      <c r="R30" s="363"/>
    </row>
    <row r="31" s="42" customFormat="true" ht="14.65" hidden="false" customHeight="false" outlineLevel="0" collapsed="false">
      <c r="E31" s="367" t="str">
        <f aca="false">B17</f>
        <v>Milking Cows Herd A</v>
      </c>
      <c r="F31" s="368"/>
      <c r="G31" s="369" t="n">
        <f aca="false">G17*(1/INDEX('Set up'!$D$45:$O$45,1,$G$1))</f>
        <v>0</v>
      </c>
      <c r="H31" s="370"/>
      <c r="I31" s="371" t="n">
        <f aca="false">I17*100/((VLOOKUP(I$16,'Set up'!$A$50:$B$54,2,0)))</f>
        <v>0</v>
      </c>
      <c r="J31" s="371"/>
      <c r="K31" s="369" t="n">
        <f aca="false">K17*100/((VLOOKUP(K$16,'Set up'!$A$50:$B$54,2,0)))</f>
        <v>0</v>
      </c>
      <c r="L31" s="370"/>
      <c r="M31" s="369" t="n">
        <f aca="false">M17*100/((VLOOKUP(M$16,'Set up'!$A$50:$B$54,2,0)))</f>
        <v>0</v>
      </c>
      <c r="N31" s="370"/>
      <c r="O31" s="369" t="n">
        <f aca="false">O17*100/((VLOOKUP(O$16,'Set up'!$A$50:$B$54,2,0)))</f>
        <v>0</v>
      </c>
      <c r="P31" s="370"/>
      <c r="Q31" s="369" t="n">
        <f aca="false">Q17*100/((VLOOKUP(Q$16,'Set up'!$A$50:$B$54,2,0)))</f>
        <v>0</v>
      </c>
      <c r="R31" s="370"/>
    </row>
    <row r="32" s="42" customFormat="true" ht="14.65" hidden="false" customHeight="false" outlineLevel="0" collapsed="false">
      <c r="E32" s="372" t="str">
        <f aca="false">B18</f>
        <v>Dry Fats</v>
      </c>
      <c r="F32" s="373"/>
      <c r="G32" s="374" t="n">
        <f aca="false">G18*(1/INDEX('Set up'!$D$45:$O$45,1,$G$1))</f>
        <v>5.26315789473684</v>
      </c>
      <c r="H32" s="375"/>
      <c r="I32" s="376" t="n">
        <f aca="false">I18*100/((VLOOKUP(I$16,'Set up'!$A$50:$B$54,2,0)))</f>
        <v>2.35294117647059</v>
      </c>
      <c r="J32" s="376"/>
      <c r="K32" s="377" t="n">
        <f aca="false">K18*100/((VLOOKUP(K$16,'Set up'!$A$50:$B$54,2,0)))</f>
        <v>0</v>
      </c>
      <c r="L32" s="378"/>
      <c r="M32" s="377" t="n">
        <f aca="false">M18*100/((VLOOKUP(M$16,'Set up'!$A$50:$B$54,2,0)))</f>
        <v>0</v>
      </c>
      <c r="N32" s="378"/>
      <c r="O32" s="377" t="n">
        <f aca="false">O18*100/((VLOOKUP(O$16,'Set up'!$A$50:$B$54,2,0)))</f>
        <v>0</v>
      </c>
      <c r="P32" s="378"/>
      <c r="Q32" s="377" t="n">
        <f aca="false">Q18*100/((VLOOKUP(Q$16,'Set up'!$A$50:$B$54,2,0)))</f>
        <v>0</v>
      </c>
      <c r="R32" s="378"/>
    </row>
    <row r="33" s="42" customFormat="true" ht="14.65" hidden="false" customHeight="false" outlineLevel="0" collapsed="false">
      <c r="E33" s="379" t="str">
        <f aca="false">B19</f>
        <v>Dry thins</v>
      </c>
      <c r="F33" s="380"/>
      <c r="G33" s="369" t="n">
        <f aca="false">G19*(1/INDEX('Set up'!$D$45:$O$45,1,$G$1))</f>
        <v>7.36842105263158</v>
      </c>
      <c r="H33" s="370"/>
      <c r="I33" s="371" t="n">
        <f aca="false">I19*100/((VLOOKUP(I$16,'Set up'!$A$50:$B$54,2,0)))</f>
        <v>2.35294117647059</v>
      </c>
      <c r="J33" s="371"/>
      <c r="K33" s="369" t="n">
        <f aca="false">K19*100/((VLOOKUP(K$16,'Set up'!$A$50:$B$54,2,0)))</f>
        <v>0</v>
      </c>
      <c r="L33" s="370"/>
      <c r="M33" s="369" t="n">
        <f aca="false">M19*100/((VLOOKUP(M$16,'Set up'!$A$50:$B$54,2,0)))</f>
        <v>0</v>
      </c>
      <c r="N33" s="370"/>
      <c r="O33" s="369" t="n">
        <f aca="false">O19*100/((VLOOKUP(O$16,'Set up'!$A$50:$B$54,2,0)))</f>
        <v>0</v>
      </c>
      <c r="P33" s="370"/>
      <c r="Q33" s="369" t="n">
        <f aca="false">Q19*100/((VLOOKUP(Q$16,'Set up'!$A$50:$B$54,2,0)))</f>
        <v>0</v>
      </c>
      <c r="R33" s="370"/>
    </row>
    <row r="34" s="42" customFormat="true" ht="14.65" hidden="false" customHeight="false" outlineLevel="0" collapsed="false">
      <c r="E34" s="372" t="str">
        <f aca="false">B20</f>
        <v>R 2yr heifers</v>
      </c>
      <c r="F34" s="373"/>
      <c r="G34" s="374" t="n">
        <f aca="false">G20*(1/INDEX('Set up'!$D$45:$O$45,1,$G$1))</f>
        <v>4.21052631578947</v>
      </c>
      <c r="H34" s="375"/>
      <c r="I34" s="381" t="n">
        <f aca="false">I20*100/((VLOOKUP(I$16,'Set up'!$A$50:$B$54,2,0)))</f>
        <v>1.17647058823529</v>
      </c>
      <c r="J34" s="381"/>
      <c r="K34" s="382" t="n">
        <f aca="false">K20*100/((VLOOKUP(K$16,'Set up'!$A$50:$B$54,2,0)))</f>
        <v>0</v>
      </c>
      <c r="L34" s="383"/>
      <c r="M34" s="382" t="n">
        <f aca="false">M20*100/((VLOOKUP(M$16,'Set up'!$A$50:$B$54,2,0)))</f>
        <v>0</v>
      </c>
      <c r="N34" s="383"/>
      <c r="O34" s="382" t="n">
        <f aca="false">O20*100/((VLOOKUP(O$16,'Set up'!$A$50:$B$54,2,0)))</f>
        <v>0</v>
      </c>
      <c r="P34" s="383"/>
      <c r="Q34" s="382" t="n">
        <f aca="false">Q20*100/((VLOOKUP(Q$16,'Set up'!$A$50:$B$54,2,0)))</f>
        <v>0</v>
      </c>
      <c r="R34" s="383"/>
    </row>
    <row r="35" s="42" customFormat="true" ht="14.65" hidden="false" customHeight="false" outlineLevel="0" collapsed="false">
      <c r="E35" s="367" t="str">
        <f aca="false">B21</f>
        <v>Heifer Calves</v>
      </c>
      <c r="F35" s="368"/>
      <c r="G35" s="369" t="n">
        <f aca="false">G21*(1/INDEX('Set up'!$D$45:$O$45,1,$G$1))</f>
        <v>3.15789473684211</v>
      </c>
      <c r="H35" s="370"/>
      <c r="I35" s="371" t="n">
        <f aca="false">I21*100/((VLOOKUP(I$16,'Set up'!$A$50:$B$54,2,0)))</f>
        <v>1.17647058823529</v>
      </c>
      <c r="J35" s="371"/>
      <c r="K35" s="369" t="n">
        <f aca="false">K21*100/((VLOOKUP(K$16,'Set up'!$A$50:$B$54,2,0)))</f>
        <v>0</v>
      </c>
      <c r="L35" s="370"/>
      <c r="M35" s="369" t="n">
        <f aca="false">M21*100/((VLOOKUP(M$16,'Set up'!$A$50:$B$54,2,0)))</f>
        <v>0</v>
      </c>
      <c r="N35" s="370"/>
      <c r="O35" s="369" t="n">
        <f aca="false">O21*100/((VLOOKUP(O$16,'Set up'!$A$50:$B$54,2,0)))</f>
        <v>0</v>
      </c>
      <c r="P35" s="370"/>
      <c r="Q35" s="369" t="n">
        <f aca="false">Q21*100/((VLOOKUP(Q$16,'Set up'!$A$50:$B$54,2,0)))</f>
        <v>0</v>
      </c>
      <c r="R35" s="370"/>
    </row>
    <row r="36" s="42" customFormat="true" ht="14.65" hidden="false" customHeight="false" outlineLevel="0" collapsed="false">
      <c r="E36" s="372" t="str">
        <f aca="false">B22</f>
        <v>Bulls</v>
      </c>
      <c r="F36" s="373"/>
      <c r="G36" s="374" t="n">
        <f aca="false">G22*(1/INDEX('Set up'!$D$45:$O$45,1,$G$1))</f>
        <v>0</v>
      </c>
      <c r="H36" s="375"/>
      <c r="I36" s="381" t="n">
        <f aca="false">I22*100/((VLOOKUP(I$16,'Set up'!$A$50:$B$54,2,0)))</f>
        <v>0</v>
      </c>
      <c r="J36" s="381"/>
      <c r="K36" s="382" t="n">
        <f aca="false">K22*100/((VLOOKUP(K$16,'Set up'!$A$50:$B$54,2,0)))</f>
        <v>0</v>
      </c>
      <c r="L36" s="383"/>
      <c r="M36" s="382" t="n">
        <f aca="false">M22*100/((VLOOKUP(M$16,'Set up'!$A$50:$B$54,2,0)))</f>
        <v>0</v>
      </c>
      <c r="N36" s="383"/>
      <c r="O36" s="382" t="n">
        <f aca="false">O22*100/((VLOOKUP(O$16,'Set up'!$A$50:$B$54,2,0)))</f>
        <v>0</v>
      </c>
      <c r="P36" s="383"/>
      <c r="Q36" s="382" t="n">
        <f aca="false">Q22*100/((VLOOKUP(Q$16,'Set up'!$A$50:$B$54,2,0)))</f>
        <v>0</v>
      </c>
      <c r="R36" s="383"/>
    </row>
    <row r="37" s="42" customFormat="true" ht="14.65" hidden="false" customHeight="false" outlineLevel="0" collapsed="false">
      <c r="E37" s="379" t="str">
        <f aca="false">B23</f>
        <v>Bull Calves</v>
      </c>
      <c r="F37" s="380"/>
      <c r="G37" s="369" t="n">
        <f aca="false">G23*(1/INDEX('Set up'!$D$45:$O$45,1,$G$1))</f>
        <v>0</v>
      </c>
      <c r="H37" s="370"/>
      <c r="I37" s="371" t="n">
        <f aca="false">I23*100/((VLOOKUP(I$16,'Set up'!$A$50:$B$54,2,0)))</f>
        <v>0</v>
      </c>
      <c r="J37" s="371"/>
      <c r="K37" s="369" t="n">
        <f aca="false">K23*100/((VLOOKUP(K$16,'Set up'!$A$50:$B$54,2,0)))</f>
        <v>0</v>
      </c>
      <c r="L37" s="370"/>
      <c r="M37" s="369" t="n">
        <f aca="false">M23*100/((VLOOKUP(M$16,'Set up'!$A$50:$B$54,2,0)))</f>
        <v>0</v>
      </c>
      <c r="N37" s="370"/>
      <c r="O37" s="369" t="n">
        <f aca="false">O23*100/((VLOOKUP(O$16,'Set up'!$A$50:$B$54,2,0)))</f>
        <v>0</v>
      </c>
      <c r="P37" s="370"/>
      <c r="Q37" s="369" t="n">
        <f aca="false">Q23*100/((VLOOKUP(Q$16,'Set up'!$A$50:$B$54,2,0)))</f>
        <v>0</v>
      </c>
      <c r="R37" s="370"/>
    </row>
    <row r="38" s="105" customFormat="true" ht="14.95" hidden="false" customHeight="false" outlineLevel="0" collapsed="false">
      <c r="B38" s="384"/>
      <c r="C38" s="385"/>
      <c r="D38" s="386"/>
      <c r="E38" s="386"/>
      <c r="F38" s="387" t="s">
        <v>192</v>
      </c>
      <c r="G38" s="388" t="n">
        <f aca="false">(($G17*$D17)+($G18*$D18)+($G19*$D19)+($G20*$D20)+($G21*$D21)+($G22*$D22)+($G23*$D23))*(1/INDEX('Set up'!$D45:$O45,1,$G$1))</f>
        <v>2063.15789473684</v>
      </c>
      <c r="H38" s="388"/>
      <c r="I38" s="389" t="n">
        <f aca="false">((I17*$D17)+(I18*$D18)+(I19*$D19)+(I20*$D20)+(I21*$D21)+(I22*$D22)+(I23*$D23))*(100/VLOOKUP($F6,'Set up'!$A$50:$C$54,2,0))</f>
        <v>705.882352941176</v>
      </c>
      <c r="J38" s="390"/>
      <c r="K38" s="389" t="n">
        <f aca="false">((K17*$D17)+(K18*$D18)+(K19*$D19)+(K20*$D20)+(K21*$D21)+(K22*$D22)+(K23*$D23))*(100/VLOOKUP($F7,'Set up'!$A$50:$C$54,2,0))</f>
        <v>0</v>
      </c>
      <c r="L38" s="390"/>
      <c r="M38" s="389" t="n">
        <f aca="false">((M17*$D17)+(M18*$D18)+(M19*$D19)+(M20*$D20)+(M21*$D21)+(M22*$D22)+(M23*$D23))*(100/VLOOKUP($F8,'Set up'!$A$50:$C$54,2,0))</f>
        <v>0</v>
      </c>
      <c r="N38" s="390"/>
      <c r="O38" s="389" t="n">
        <f aca="false">((O17*$D17)+(O18*$D18)+(O19*$D19)+(O20*$D20)+(O21*$D21)+(O22*$D22)+(O23*$D23))*(100/VLOOKUP($F9,'Set up'!$A$50:$C$54,2,0))</f>
        <v>0</v>
      </c>
      <c r="P38" s="390"/>
      <c r="Q38" s="389" t="n">
        <f aca="false">((Q17*$D17)+(Q18*$D18)+(Q19*$D19)+(Q20*$D20)+(Q21*$D21)+(Q22*$D22)+(Q23*$D23))*(100/VLOOKUP($F10,'Set up'!$A$50:$C$54,2,0))</f>
        <v>0</v>
      </c>
      <c r="R38" s="390"/>
      <c r="S38" s="331"/>
    </row>
    <row r="39" s="42" customFormat="true" ht="14.95" hidden="false" customHeight="false" outlineLevel="0" collapsed="false">
      <c r="B39" s="391"/>
      <c r="C39" s="392"/>
      <c r="D39" s="392"/>
      <c r="E39" s="392"/>
      <c r="F39" s="393" t="s">
        <v>193</v>
      </c>
      <c r="G39" s="394" t="n">
        <f aca="false">G38*$C$5</f>
        <v>63957.8947368421</v>
      </c>
      <c r="H39" s="394"/>
      <c r="I39" s="395" t="n">
        <f aca="false">I38*$C$5</f>
        <v>21882.3529411765</v>
      </c>
      <c r="J39" s="396"/>
      <c r="K39" s="395" t="n">
        <f aca="false">K38*$C$5</f>
        <v>0</v>
      </c>
      <c r="L39" s="396"/>
      <c r="M39" s="395" t="n">
        <f aca="false">M38*$C$5</f>
        <v>0</v>
      </c>
      <c r="N39" s="396"/>
      <c r="O39" s="395" t="n">
        <f aca="false">O38*$C$5</f>
        <v>0</v>
      </c>
      <c r="P39" s="396"/>
      <c r="Q39" s="395" t="n">
        <f aca="false">Q38*$C$5</f>
        <v>0</v>
      </c>
      <c r="R39" s="396"/>
    </row>
    <row r="40" s="42" customFormat="true" ht="14.95" hidden="false" customHeight="false" outlineLevel="0" collapsed="false">
      <c r="B40" s="42" t="s">
        <v>194</v>
      </c>
    </row>
    <row r="41" s="42" customFormat="true" ht="14.75" hidden="false" customHeight="true" outlineLevel="0" collapsed="false"/>
    <row r="42" customFormat="false" ht="14.75" hidden="false" customHeight="true" outlineLevel="0" collapsed="false">
      <c r="Q42" s="52"/>
      <c r="R42" s="52"/>
      <c r="S42" s="44"/>
    </row>
    <row r="43" s="42" customFormat="true" ht="32" hidden="false" customHeight="true" outlineLevel="0" collapsed="false">
      <c r="B43" s="208" t="s">
        <v>195</v>
      </c>
    </row>
    <row r="44" s="42" customFormat="true" ht="32" hidden="false" customHeight="true" outlineLevel="0" collapsed="false">
      <c r="B44" s="208"/>
    </row>
    <row r="45" s="42" customFormat="true" ht="14.65" hidden="false" customHeight="false" outlineLevel="0" collapsed="false">
      <c r="B45" s="44"/>
      <c r="C45" s="237"/>
      <c r="D45" s="397"/>
      <c r="E45" s="397"/>
      <c r="F45" s="398" t="s">
        <v>196</v>
      </c>
      <c r="G45" s="399" t="n">
        <f aca="true">IF(G1=1,'Set up'!$D$35,INDIRECT("period"&amp;$G$1-1&amp;"!G46"))</f>
        <v>2390</v>
      </c>
      <c r="H45" s="400" t="s">
        <v>197</v>
      </c>
      <c r="I45" s="401"/>
      <c r="J45" s="402"/>
      <c r="K45" s="213" t="str">
        <f aca="false">IF(G1=1,"*NB: For Period1, enter the opening  Av Farm Cover in cell D37 in 'Set up'","NB: Opening av farm cover is the previous period's forecasted closing av farm cover")</f>
        <v>NB: Opening av farm cover is the previous period's forecasted closing av farm cover</v>
      </c>
      <c r="P45" s="44"/>
      <c r="V45" s="345"/>
      <c r="W45" s="2"/>
    </row>
    <row r="46" s="42" customFormat="true" ht="14.65" hidden="false" customHeight="false" outlineLevel="0" collapsed="false">
      <c r="B46" s="44"/>
      <c r="C46" s="403"/>
      <c r="D46" s="404"/>
      <c r="E46" s="404"/>
      <c r="F46" s="405" t="s">
        <v>198</v>
      </c>
      <c r="G46" s="406" t="n">
        <f aca="false">($G$45+ ($C$5*$C$12) -(G39/C11))</f>
        <v>2680.42105263158</v>
      </c>
      <c r="H46" s="407" t="s">
        <v>197</v>
      </c>
      <c r="I46" s="408"/>
      <c r="J46" s="409"/>
      <c r="K46" s="410"/>
      <c r="P46" s="44"/>
    </row>
    <row r="47" s="42" customFormat="true" ht="14.65" hidden="false" customHeight="false" outlineLevel="0" collapsed="false">
      <c r="B47" s="44"/>
      <c r="C47" s="411"/>
      <c r="D47" s="412"/>
      <c r="E47" s="412"/>
      <c r="F47" s="413" t="s">
        <v>199</v>
      </c>
      <c r="G47" s="429" t="n">
        <f aca="false">INDEX('Set up'!$D37:$O37,1,G1)</f>
        <v>2200</v>
      </c>
      <c r="H47" s="415" t="s">
        <v>197</v>
      </c>
      <c r="I47" s="416"/>
      <c r="J47" s="417"/>
      <c r="K47" s="410"/>
      <c r="P47" s="331"/>
      <c r="V47" s="345"/>
    </row>
    <row r="48" s="42" customFormat="true" ht="14.65" hidden="false" customHeight="false" outlineLevel="0" collapsed="false">
      <c r="B48" s="44"/>
      <c r="C48" s="247"/>
      <c r="D48" s="418"/>
      <c r="E48" s="418"/>
      <c r="F48" s="419" t="s">
        <v>200</v>
      </c>
      <c r="G48" s="420" t="n">
        <f aca="false">G46-G47</f>
        <v>480.421052631579</v>
      </c>
      <c r="H48" s="407" t="s">
        <v>197</v>
      </c>
      <c r="I48" s="408"/>
      <c r="J48" s="421"/>
      <c r="K48" s="422" t="s">
        <v>201</v>
      </c>
      <c r="P48" s="331"/>
    </row>
    <row r="49" s="42" customFormat="true" ht="14.65" hidden="false" customHeight="false" outlineLevel="0" collapsed="false">
      <c r="B49" s="44"/>
      <c r="C49" s="269"/>
      <c r="D49" s="423"/>
      <c r="E49" s="423"/>
      <c r="F49" s="424" t="s">
        <v>202</v>
      </c>
      <c r="G49" s="425" t="n">
        <f aca="false">G48*C11</f>
        <v>48042.1052631579</v>
      </c>
      <c r="H49" s="426" t="str">
        <f aca="false">"kg DM total over  nett "&amp;C11&amp;" ha"</f>
        <v>kg DM total over  nett 100 ha</v>
      </c>
      <c r="I49" s="427"/>
      <c r="J49" s="428"/>
      <c r="K49" s="410"/>
      <c r="P49" s="331"/>
      <c r="Q49" s="42" t="str">
        <f aca="false">CONCATENATE(Q43,S43)</f>
        <v/>
      </c>
    </row>
  </sheetData>
  <sheetProtection sheet="true" objects="true" scenarios="true" selectLockedCells="true"/>
  <mergeCells count="1">
    <mergeCell ref="Y15:AD15"/>
  </mergeCells>
  <dataValidations count="4">
    <dataValidation allowBlank="false" operator="equal" showDropDown="false" showErrorMessage="false" showInputMessage="false" sqref="F6 F8:F10" type="list">
      <formula1>'Set up'!$A$50:$A$54</formula1>
      <formula2>0</formula2>
    </dataValidation>
    <dataValidation allowBlank="false" operator="equal" showDropDown="false" showErrorMessage="false" showInputMessage="false" sqref="F7" type="list">
      <formula1>'Set up'!$A$50:$A$54</formula1>
      <formula2>0</formula2>
    </dataValidation>
    <dataValidation allowBlank="true" operator="equal" showDropDown="false" showErrorMessage="false" showInputMessage="false" sqref="B17" type="list">
      <formula1>'Set up'!$B$62:$B$90</formula1>
      <formula2>0</formula2>
    </dataValidation>
    <dataValidation allowBlank="true" operator="equal" showDropDown="false" showErrorMessage="false" showInputMessage="false" sqref="B18:B23" type="list">
      <formula1>'Set up'!$B$62:$B$89</formula1>
      <formula2>0</formula2>
    </dataValidation>
  </dataValidation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&amp;C&amp;"Arial,Regular"&amp;A</oddHeader>
    <oddFooter>&amp;C&amp;"Arial,Regular"Page &amp;P</oddFooter>
  </headerFooter>
  <drawing r:id="rId2"/>
  <legacyDrawing r:id="rId3"/>
</worksheet>
</file>

<file path=xl/worksheets/sheet6.xml><?xml version="1.0" encoding="utf-8"?>
<worksheet xmlns="http://schemas.openxmlformats.org/spreadsheetml/2006/main" xmlns:r="http://schemas.openxmlformats.org/officeDocument/2006/relationships">
  <sheetPr filterMode="false">
    <pageSetUpPr fitToPage="false"/>
  </sheetPr>
  <dimension ref="A1:AD49"/>
  <sheetViews>
    <sheetView showFormulas="false" showGridLines="false" showRowColHeaders="true" showZeros="true" rightToLeft="false" tabSelected="false" showOutlineSymbols="true" defaultGridColor="true" view="normal" topLeftCell="A1" colorId="64" zoomScale="110" zoomScaleNormal="110" zoomScalePageLayoutView="100" workbookViewId="0">
      <selection pane="topLeft" activeCell="B2" activeCellId="0" sqref="B2"/>
    </sheetView>
  </sheetViews>
  <sheetFormatPr defaultRowHeight="14.65" zeroHeight="false" outlineLevelRow="0" outlineLevelCol="0"/>
  <cols>
    <col collapsed="false" customWidth="true" hidden="false" outlineLevel="0" max="1" min="1" style="42" width="4.08"/>
    <col collapsed="false" customWidth="true" hidden="false" outlineLevel="0" max="2" min="2" style="42" width="30.91"/>
    <col collapsed="false" customWidth="true" hidden="false" outlineLevel="0" max="3" min="3" style="42" width="9.88"/>
    <col collapsed="false" customWidth="true" hidden="false" outlineLevel="0" max="4" min="4" style="42" width="10.51"/>
    <col collapsed="false" customWidth="true" hidden="false" outlineLevel="0" max="5" min="5" style="42" width="12.08"/>
    <col collapsed="false" customWidth="true" hidden="false" outlineLevel="0" max="6" min="6" style="42" width="11.76"/>
    <col collapsed="false" customWidth="true" hidden="false" outlineLevel="0" max="7" min="7" style="42" width="10.2"/>
    <col collapsed="false" customWidth="true" hidden="false" outlineLevel="0" max="8" min="8" style="42" width="5.1"/>
    <col collapsed="false" customWidth="true" hidden="false" outlineLevel="0" max="9" min="9" style="42" width="10.2"/>
    <col collapsed="false" customWidth="true" hidden="false" outlineLevel="0" max="10" min="10" style="42" width="5.1"/>
    <col collapsed="false" customWidth="true" hidden="false" outlineLevel="0" max="11" min="11" style="42" width="10.2"/>
    <col collapsed="false" customWidth="true" hidden="false" outlineLevel="0" max="12" min="12" style="42" width="5.1"/>
    <col collapsed="false" customWidth="true" hidden="false" outlineLevel="0" max="13" min="13" style="42" width="10.2"/>
    <col collapsed="false" customWidth="true" hidden="false" outlineLevel="0" max="14" min="14" style="42" width="5.1"/>
    <col collapsed="false" customWidth="true" hidden="false" outlineLevel="0" max="15" min="15" style="42" width="10.2"/>
    <col collapsed="false" customWidth="true" hidden="false" outlineLevel="0" max="16" min="16" style="42" width="5.1"/>
    <col collapsed="false" customWidth="true" hidden="false" outlineLevel="0" max="17" min="17" style="42" width="10.2"/>
    <col collapsed="false" customWidth="true" hidden="false" outlineLevel="0" max="18" min="18" style="42" width="5.1"/>
    <col collapsed="false" customWidth="true" hidden="false" outlineLevel="0" max="19" min="19" style="105" width="4.08"/>
    <col collapsed="false" customWidth="true" hidden="false" outlineLevel="0" max="1025" min="20" style="42" width="13.38"/>
  </cols>
  <sheetData>
    <row r="1" customFormat="false" ht="26.55" hidden="false" customHeight="false" outlineLevel="0" collapsed="false">
      <c r="B1" s="197" t="s">
        <v>151</v>
      </c>
      <c r="C1" s="198" t="str">
        <f aca="false">'Set up'!D4</f>
        <v>Farm A</v>
      </c>
      <c r="D1" s="199"/>
      <c r="E1" s="200"/>
      <c r="F1" s="200" t="s">
        <v>152</v>
      </c>
      <c r="G1" s="201" t="n">
        <v>3</v>
      </c>
      <c r="H1" s="202"/>
      <c r="I1" s="44"/>
      <c r="J1" s="44"/>
      <c r="M1" s="203" t="s">
        <v>153</v>
      </c>
      <c r="N1" s="105"/>
      <c r="O1" s="47"/>
      <c r="P1" s="47"/>
      <c r="S1" s="52"/>
    </row>
    <row r="2" customFormat="false" ht="32.35" hidden="false" customHeight="false" outlineLevel="0" collapsed="false">
      <c r="B2" s="204" t="s">
        <v>2</v>
      </c>
      <c r="C2" s="198"/>
      <c r="D2" s="199"/>
      <c r="E2" s="205"/>
      <c r="F2" s="206" t="s">
        <v>154</v>
      </c>
      <c r="I2" s="56"/>
      <c r="J2" s="56"/>
      <c r="K2" s="207"/>
      <c r="L2" s="207"/>
      <c r="M2" s="44"/>
      <c r="N2" s="44"/>
      <c r="O2" s="47"/>
      <c r="P2" s="47"/>
      <c r="S2" s="52"/>
    </row>
    <row r="3" s="42" customFormat="true" ht="26.45" hidden="false" customHeight="false" outlineLevel="0" collapsed="false">
      <c r="B3" s="208" t="s">
        <v>155</v>
      </c>
      <c r="D3" s="56"/>
      <c r="I3" s="209" t="s">
        <v>156</v>
      </c>
      <c r="J3" s="210"/>
    </row>
    <row r="4" s="42" customFormat="true" ht="14.65" hidden="false" customHeight="false" outlineLevel="0" collapsed="false">
      <c r="B4" s="211" t="s">
        <v>157</v>
      </c>
      <c r="C4" s="212" t="n">
        <f aca="false">HLOOKUP($G$1,'Set up'!$D$12:$O$15,3,0)</f>
        <v>43252</v>
      </c>
      <c r="D4" s="213"/>
      <c r="F4" s="214"/>
      <c r="G4" s="215" t="s">
        <v>158</v>
      </c>
      <c r="H4" s="216"/>
      <c r="I4" s="217" t="s">
        <v>159</v>
      </c>
      <c r="J4" s="216"/>
      <c r="K4" s="218" t="s">
        <v>160</v>
      </c>
      <c r="L4" s="219"/>
      <c r="M4" s="220" t="s">
        <v>161</v>
      </c>
      <c r="N4" s="221"/>
      <c r="O4" s="105"/>
      <c r="P4" s="222"/>
      <c r="Q4" s="105"/>
      <c r="R4" s="105"/>
    </row>
    <row r="5" s="42" customFormat="true" ht="14.65" hidden="false" customHeight="false" outlineLevel="0" collapsed="false">
      <c r="B5" s="223" t="s">
        <v>162</v>
      </c>
      <c r="C5" s="224" t="n">
        <f aca="false">HLOOKUP($G$1,'Set up'!$D$12:$O$15,4,0)</f>
        <v>30</v>
      </c>
      <c r="D5" s="199"/>
      <c r="F5" s="222" t="s">
        <v>163</v>
      </c>
      <c r="G5" s="225" t="s">
        <v>164</v>
      </c>
      <c r="H5" s="226"/>
      <c r="I5" s="227" t="s">
        <v>165</v>
      </c>
      <c r="J5" s="227"/>
      <c r="K5" s="228" t="s">
        <v>165</v>
      </c>
      <c r="L5" s="229"/>
      <c r="M5" s="230" t="s">
        <v>164</v>
      </c>
      <c r="N5" s="231"/>
      <c r="O5" s="222"/>
      <c r="P5" s="222"/>
      <c r="Q5" s="105"/>
      <c r="R5" s="232"/>
    </row>
    <row r="6" s="42" customFormat="true" ht="14.65" hidden="false" customHeight="false" outlineLevel="0" collapsed="false">
      <c r="B6" s="233" t="s">
        <v>166</v>
      </c>
      <c r="C6" s="234" t="n">
        <f aca="false">C4+C5</f>
        <v>43282</v>
      </c>
      <c r="D6" s="199"/>
      <c r="F6" s="235" t="s">
        <v>131</v>
      </c>
      <c r="G6" s="236" t="n">
        <f aca="false">IF($G$1=1, VLOOKUP(F6,'Set up'!$A$50:$D$54,3,0),VLOOKUP(F6,'Set up'!$A$50:$O$54,$G$1+2,0))</f>
        <v>56941.1764705882</v>
      </c>
      <c r="H6" s="237"/>
      <c r="I6" s="238" t="n">
        <f aca="false">(($D$17*I$17*$C$5)+($D$18*I$18*$C$5)+($D$19*I$19*$C$5)+($D$20*I$20*$C$5)+($D$21*I$21*$C$5)+($D$22*I$22*$C$5)+($D$23*I$23*$C$5))*(100/VLOOKUP(F6,'Set up'!$A$50:$C$54,2,0))</f>
        <v>14117.6470588235</v>
      </c>
      <c r="J6" s="239"/>
      <c r="K6" s="240" t="n">
        <v>0</v>
      </c>
      <c r="L6" s="237"/>
      <c r="M6" s="241" t="n">
        <f aca="false">G6-I6+K6</f>
        <v>42823.5294117647</v>
      </c>
      <c r="N6" s="242"/>
      <c r="O6" s="44"/>
      <c r="P6" s="44"/>
      <c r="Q6" s="105"/>
      <c r="R6" s="243"/>
    </row>
    <row r="7" s="42" customFormat="true" ht="14.65" hidden="false" customHeight="false" outlineLevel="0" collapsed="false">
      <c r="B7" s="244"/>
      <c r="C7" s="213"/>
      <c r="F7" s="245" t="s">
        <v>129</v>
      </c>
      <c r="G7" s="246" t="n">
        <f aca="false">IF($G$1=1, VLOOKUP(F7,'Set up'!$A$50:$D$54,3,0),VLOOKUP(F7,'Set up'!$A$50:$O$54,$G$1+2,0))</f>
        <v>90000</v>
      </c>
      <c r="H7" s="247"/>
      <c r="I7" s="248" t="n">
        <f aca="false">((($D$17*K$17*$C$5)+($D$18*K$18*$C$5)+($D$19*K$19*$C$5)+($D$20*K$20*$C$5)+($D$21*K$21*$C$5)+($D$22*K$22*$C$5)+($D$23*K$23*$C$5)))*(100/VLOOKUP(F7,'Set up'!$A$50:$C$54,2,0))</f>
        <v>0</v>
      </c>
      <c r="J7" s="249"/>
      <c r="K7" s="250" t="n">
        <v>0</v>
      </c>
      <c r="L7" s="247"/>
      <c r="M7" s="251" t="n">
        <f aca="false">G7-I7+K7</f>
        <v>90000</v>
      </c>
      <c r="N7" s="252"/>
      <c r="O7" s="44"/>
      <c r="P7" s="44"/>
      <c r="Q7" s="105"/>
      <c r="R7" s="243"/>
    </row>
    <row r="8" s="42" customFormat="true" ht="14.65" hidden="false" customHeight="false" outlineLevel="0" collapsed="false">
      <c r="B8" s="253" t="s">
        <v>167</v>
      </c>
      <c r="C8" s="254" t="n">
        <f aca="false">'Set up'!D7</f>
        <v>100</v>
      </c>
      <c r="D8" s="255" t="s">
        <v>168</v>
      </c>
      <c r="F8" s="256" t="s">
        <v>130</v>
      </c>
      <c r="G8" s="236" t="n">
        <f aca="false">IF($G$1=1, VLOOKUP(F8,'Set up'!$A$50:$D$54,3,0),VLOOKUP(F8,'Set up'!$A$50:$O$54,$G$1+2,0))</f>
        <v>0</v>
      </c>
      <c r="H8" s="257"/>
      <c r="I8" s="258" t="n">
        <f aca="false">(($D$17*M$17*$C$5)+($D$18*M$18*$C$5)+($D$19*M$19*$C$5)+($D$20*M$20*$C$5)+($D$21*M$21*$C$5)+($D$22*M$22*$C$5)+($D$23*M$23*$C$5))*(100/VLOOKUP(F8,'Set up'!$A$50:$C$54,2,0))</f>
        <v>0</v>
      </c>
      <c r="J8" s="259"/>
      <c r="K8" s="260" t="n">
        <v>0</v>
      </c>
      <c r="L8" s="257"/>
      <c r="M8" s="241" t="n">
        <f aca="false">G8-I8+K8</f>
        <v>0</v>
      </c>
      <c r="N8" s="261"/>
      <c r="O8" s="44"/>
      <c r="P8" s="44"/>
      <c r="Q8" s="105"/>
      <c r="R8" s="243"/>
      <c r="T8" s="262"/>
    </row>
    <row r="9" s="42" customFormat="true" ht="14.65" hidden="false" customHeight="false" outlineLevel="0" collapsed="false">
      <c r="B9" s="263" t="s">
        <v>169</v>
      </c>
      <c r="C9" s="264" t="n">
        <v>0</v>
      </c>
      <c r="D9" s="265" t="n">
        <f aca="true">IF($G$1&lt;&gt;1,INDIRECT("period"&amp;$G$1-1&amp;"!c9"),0)</f>
        <v>0</v>
      </c>
      <c r="F9" s="245" t="s">
        <v>132</v>
      </c>
      <c r="G9" s="246" t="n">
        <f aca="false">IF($G$1=1, VLOOKUP(F9,'Set up'!$A$50:$D$54,3,0),VLOOKUP(F9,'Set up'!$A$50:$O$54,$G$1+2,0))</f>
        <v>0</v>
      </c>
      <c r="H9" s="247"/>
      <c r="I9" s="248" t="n">
        <f aca="false">(($D$17*O$17*$C$5)+($D$18*O$18*$C$5)+($D$19*O$19*$C$5)+($D$20*O$20*$C$5)+($D$21*O$21*$C$5)+($D$22*O$22*$C$5)+($D$23*O$23*$C$5))*(100/VLOOKUP(F9,'Set up'!$A$50:$C$54,2,0))</f>
        <v>0</v>
      </c>
      <c r="J9" s="249"/>
      <c r="K9" s="250" t="n">
        <v>0</v>
      </c>
      <c r="L9" s="247"/>
      <c r="M9" s="251" t="n">
        <f aca="false">G9-I9+K9</f>
        <v>0</v>
      </c>
      <c r="N9" s="252"/>
      <c r="O9" s="44"/>
      <c r="P9" s="44"/>
      <c r="Q9" s="105"/>
      <c r="R9" s="243"/>
    </row>
    <row r="10" s="42" customFormat="true" ht="14.65" hidden="false" customHeight="false" outlineLevel="0" collapsed="false">
      <c r="B10" s="263" t="s">
        <v>170</v>
      </c>
      <c r="C10" s="266" t="n">
        <v>0</v>
      </c>
      <c r="D10" s="265" t="n">
        <f aca="true">IF($G$1&lt;&gt;1,INDIRECT("period"&amp;$G$1-1&amp;"!c10"),0)</f>
        <v>0</v>
      </c>
      <c r="F10" s="267" t="s">
        <v>133</v>
      </c>
      <c r="G10" s="268" t="n">
        <f aca="false">IF($G$1=1, VLOOKUP(F10,'Set up'!$A$50:$D$54,3,0),VLOOKUP(F10,'Set up'!$A$50:$O$54,$G$1+2,0))</f>
        <v>15000</v>
      </c>
      <c r="H10" s="269"/>
      <c r="I10" s="270" t="n">
        <f aca="false">(($D$17*Q$17*$C$5)+($D$18*Q$18*$C$5)+($D$19*Q$19*$C$5)+($D$20*Q$20*$C$5)+($D$21*Q$21*$C$5)+($D$22*Q$22*$C$5)+($D$23*Q$23*$C$5))*(100/VLOOKUP(F10,'Set up'!$A$50:$C$54,2,0))</f>
        <v>0</v>
      </c>
      <c r="J10" s="271"/>
      <c r="K10" s="272" t="n">
        <v>0</v>
      </c>
      <c r="L10" s="269"/>
      <c r="M10" s="273" t="n">
        <f aca="false">G10-I10+K10</f>
        <v>15000</v>
      </c>
      <c r="N10" s="274"/>
      <c r="O10" s="44"/>
      <c r="P10" s="44"/>
      <c r="Q10" s="105"/>
      <c r="R10" s="243"/>
    </row>
    <row r="11" s="42" customFormat="true" ht="14.65" hidden="false" customHeight="false" outlineLevel="0" collapsed="false">
      <c r="B11" s="275" t="s">
        <v>171</v>
      </c>
      <c r="C11" s="276" t="n">
        <f aca="false">C8-C9-C10</f>
        <v>100</v>
      </c>
      <c r="D11" s="265" t="n">
        <f aca="true">IF($G$1&lt;&gt;1,INDIRECT("period"&amp;$G$1-1&amp;"!c11"),0)</f>
        <v>100</v>
      </c>
      <c r="F11" s="42" t="s">
        <v>172</v>
      </c>
    </row>
    <row r="12" s="42" customFormat="true" ht="14.65" hidden="false" customHeight="false" outlineLevel="0" collapsed="false">
      <c r="A12" s="44"/>
      <c r="B12" s="277" t="s">
        <v>173</v>
      </c>
      <c r="C12" s="278" t="n">
        <f aca="false">INDEX('Set up'!D30:O30,1,G1)</f>
        <v>20</v>
      </c>
      <c r="D12" s="279" t="s">
        <v>174</v>
      </c>
      <c r="E12" s="44"/>
      <c r="F12" s="105" t="s">
        <v>175</v>
      </c>
      <c r="G12" s="105"/>
      <c r="H12" s="105"/>
      <c r="I12" s="105"/>
      <c r="J12" s="105"/>
    </row>
    <row r="13" s="42" customFormat="true" ht="14.65" hidden="false" customHeight="false" outlineLevel="0" collapsed="false">
      <c r="B13" s="2"/>
      <c r="C13" s="2"/>
      <c r="D13" s="2"/>
    </row>
    <row r="14" s="42" customFormat="true" ht="14.65" hidden="false" customHeight="false" outlineLevel="0" collapsed="false">
      <c r="B14" s="2"/>
      <c r="C14" s="2"/>
      <c r="D14" s="2"/>
      <c r="F14" s="280"/>
    </row>
    <row r="15" s="42" customFormat="true" ht="57.25" hidden="false" customHeight="true" outlineLevel="0" collapsed="false">
      <c r="B15" s="208" t="s">
        <v>176</v>
      </c>
      <c r="C15" s="281"/>
      <c r="D15" s="282"/>
      <c r="G15" s="283" t="s">
        <v>177</v>
      </c>
      <c r="N15" s="284"/>
      <c r="Y15" s="285"/>
      <c r="Z15" s="285"/>
      <c r="AA15" s="285"/>
      <c r="AB15" s="285"/>
      <c r="AC15" s="285"/>
      <c r="AD15" s="285"/>
    </row>
    <row r="16" customFormat="false" ht="47.7" hidden="false" customHeight="true" outlineLevel="0" collapsed="false">
      <c r="B16" s="286" t="s">
        <v>178</v>
      </c>
      <c r="C16" s="287" t="s">
        <v>179</v>
      </c>
      <c r="D16" s="288" t="s">
        <v>180</v>
      </c>
      <c r="E16" s="289" t="s">
        <v>181</v>
      </c>
      <c r="F16" s="290" t="s">
        <v>182</v>
      </c>
      <c r="G16" s="291" t="s">
        <v>123</v>
      </c>
      <c r="H16" s="292" t="s">
        <v>183</v>
      </c>
      <c r="I16" s="293" t="str">
        <f aca="false">F6</f>
        <v>Meadow Hay</v>
      </c>
      <c r="J16" s="294" t="s">
        <v>183</v>
      </c>
      <c r="K16" s="295" t="str">
        <f aca="false">F7</f>
        <v>Pasture Silage</v>
      </c>
      <c r="L16" s="292" t="s">
        <v>183</v>
      </c>
      <c r="M16" s="293" t="str">
        <f aca="false">F8</f>
        <v>Maize Silage</v>
      </c>
      <c r="N16" s="294" t="s">
        <v>183</v>
      </c>
      <c r="O16" s="295" t="str">
        <f aca="false">F9</f>
        <v>Crop</v>
      </c>
      <c r="P16" s="292" t="s">
        <v>183</v>
      </c>
      <c r="Q16" s="293" t="str">
        <f aca="false">F10</f>
        <v>Meal</v>
      </c>
      <c r="R16" s="294" t="s">
        <v>183</v>
      </c>
      <c r="S16" s="296"/>
    </row>
    <row r="17" customFormat="false" ht="14.65" hidden="false" customHeight="false" outlineLevel="0" collapsed="false">
      <c r="B17" s="297" t="s">
        <v>138</v>
      </c>
      <c r="C17" s="298" t="n">
        <f aca="false">VLOOKUP(B17,'Set up'!$B$62:$O$89,2+$G$1,FALSE())</f>
        <v>0</v>
      </c>
      <c r="D17" s="299" t="n">
        <v>0</v>
      </c>
      <c r="E17" s="300" t="str">
        <f aca="false">TRIM(CLEAN(INDEX('Set up'!$D$63:$O$87,MATCH(B17,'Set up'!$B$62:$B$89,0),+$G$1)))</f>
        <v>0</v>
      </c>
      <c r="F17" s="301" t="n">
        <f aca="false">G17+I17+K17+M17+O17+Q17</f>
        <v>0</v>
      </c>
      <c r="G17" s="302" t="n">
        <v>0</v>
      </c>
      <c r="H17" s="303" t="n">
        <f aca="true">IF($G$1&lt;&gt;1,INDIRECT("period"&amp;$G$1-1&amp;"!G17"),0)</f>
        <v>0</v>
      </c>
      <c r="I17" s="302" t="n">
        <v>0</v>
      </c>
      <c r="J17" s="303" t="n">
        <f aca="true">IF($G$1&lt;&gt;1,INDIRECT("period"&amp;$G$1-1&amp;"!I17"),0)</f>
        <v>0</v>
      </c>
      <c r="K17" s="302" t="n">
        <v>0</v>
      </c>
      <c r="L17" s="303" t="n">
        <f aca="true">IF($G$1&lt;&gt;1,INDIRECT("period"&amp;$G$1-1&amp;"!K17"),0)</f>
        <v>0</v>
      </c>
      <c r="M17" s="302" t="n">
        <v>0</v>
      </c>
      <c r="N17" s="303" t="n">
        <f aca="true">IF($G$1&lt;&gt;1,INDIRECT("period"&amp;$G$1-1&amp;"!M17"),0)</f>
        <v>0</v>
      </c>
      <c r="O17" s="302" t="n">
        <v>0</v>
      </c>
      <c r="P17" s="303" t="n">
        <f aca="true">IF($G$1&lt;&gt;1,INDIRECT("period"&amp;$G$1-1&amp;"!O17"),0)</f>
        <v>0</v>
      </c>
      <c r="Q17" s="304" t="n">
        <v>0</v>
      </c>
      <c r="R17" s="305" t="n">
        <f aca="true">IF($G$1&lt;&gt;1,INDIRECT("period"&amp;$G$1-1&amp;"!Q17"),0)</f>
        <v>0</v>
      </c>
      <c r="S17" s="306"/>
    </row>
    <row r="18" customFormat="false" ht="14.65" hidden="false" customHeight="false" outlineLevel="0" collapsed="false">
      <c r="B18" s="307" t="s">
        <v>142</v>
      </c>
      <c r="C18" s="308" t="n">
        <f aca="false">VLOOKUP(B18,'Set up'!$B$62:$O$89,2+$G$1,FALSE())</f>
        <v>100</v>
      </c>
      <c r="D18" s="309" t="n">
        <v>100</v>
      </c>
      <c r="E18" s="310" t="str">
        <f aca="false">TRIM(CLEAN(INDEX('Set up'!$D$63:$O$87,MATCH(B18,'Set up'!$B$62:$B$89,0),+$G$1)))</f>
        <v>8</v>
      </c>
      <c r="F18" s="311" t="n">
        <f aca="false">G18+I18+K18+M18+O18+Q18</f>
        <v>9</v>
      </c>
      <c r="G18" s="312" t="n">
        <v>9</v>
      </c>
      <c r="H18" s="313" t="n">
        <f aca="true">IF($G$1&lt;&gt;1,INDIRECT("period"&amp;$G$1-1&amp;"!G18"),0)</f>
        <v>5</v>
      </c>
      <c r="I18" s="312" t="n">
        <v>0</v>
      </c>
      <c r="J18" s="313" t="n">
        <f aca="true">IF($G$1&lt;&gt;1,INDIRECT("period"&amp;$G$1-1&amp;"!I18"),0)</f>
        <v>2</v>
      </c>
      <c r="K18" s="312" t="n">
        <v>0</v>
      </c>
      <c r="L18" s="313" t="n">
        <f aca="true">IF($G$1&lt;&gt;1,INDIRECT("period"&amp;$G$1-1&amp;"!K18"),0)</f>
        <v>0</v>
      </c>
      <c r="M18" s="312" t="n">
        <v>0</v>
      </c>
      <c r="N18" s="313" t="n">
        <f aca="true">IF($G$1&lt;&gt;1,INDIRECT("period"&amp;$G$1-1&amp;"!M18"),0)</f>
        <v>0</v>
      </c>
      <c r="O18" s="312" t="n">
        <v>0</v>
      </c>
      <c r="P18" s="313" t="n">
        <f aca="true">IF($G$1&lt;&gt;1,INDIRECT("period"&amp;$G$1-1&amp;"!O18"),0)</f>
        <v>0</v>
      </c>
      <c r="Q18" s="312" t="n">
        <v>0</v>
      </c>
      <c r="R18" s="313" t="n">
        <f aca="true">IF($G$1&lt;&gt;1,INDIRECT("period"&amp;$G$1-1&amp;"!Q18"),0)</f>
        <v>0</v>
      </c>
      <c r="S18" s="306"/>
    </row>
    <row r="19" customFormat="false" ht="14.65" hidden="false" customHeight="false" outlineLevel="0" collapsed="false">
      <c r="B19" s="314" t="s">
        <v>143</v>
      </c>
      <c r="C19" s="308" t="n">
        <f aca="false">VLOOKUP(B19,'Set up'!$B$62:$O$89,2+$G$1,FALSE())</f>
        <v>100</v>
      </c>
      <c r="D19" s="315" t="n">
        <v>100</v>
      </c>
      <c r="E19" s="316" t="str">
        <f aca="false">TRIM(CLEAN(INDEX('Set up'!$D$63:$O$87,MATCH(B19,'Set up'!$B$62:$B$89,0),+$G$1)))</f>
        <v>9</v>
      </c>
      <c r="F19" s="317" t="n">
        <f aca="false">G19+I19+K19+M19+O19+Q19</f>
        <v>11</v>
      </c>
      <c r="G19" s="304" t="n">
        <v>9</v>
      </c>
      <c r="H19" s="305" t="n">
        <f aca="true">IF($G$1&lt;&gt;1,INDIRECT("period"&amp;$G$1-1&amp;"!G19"),0)</f>
        <v>7</v>
      </c>
      <c r="I19" s="304" t="n">
        <v>2</v>
      </c>
      <c r="J19" s="305" t="n">
        <f aca="true">IF($G$1&lt;&gt;1,INDIRECT("period"&amp;$G$1-1&amp;"!I19"),0)</f>
        <v>2</v>
      </c>
      <c r="K19" s="304" t="n">
        <v>0</v>
      </c>
      <c r="L19" s="305" t="n">
        <f aca="true">IF($G$1&lt;&gt;1,INDIRECT("period"&amp;$G$1-1&amp;"!K19"),0)</f>
        <v>0</v>
      </c>
      <c r="M19" s="304" t="n">
        <v>0</v>
      </c>
      <c r="N19" s="305" t="n">
        <f aca="true">IF($G$1&lt;&gt;1,INDIRECT("period"&amp;$G$1-1&amp;"!G19"),0)</f>
        <v>7</v>
      </c>
      <c r="O19" s="304" t="n">
        <v>0</v>
      </c>
      <c r="P19" s="305" t="n">
        <f aca="true">IF($G$1&lt;&gt;1,INDIRECT("period"&amp;$G$1-1&amp;"!O19"),0)</f>
        <v>0</v>
      </c>
      <c r="Q19" s="304" t="n">
        <v>0</v>
      </c>
      <c r="R19" s="305" t="n">
        <f aca="true">IF($G$1&lt;&gt;1,INDIRECT("period"&amp;$G$1-1&amp;"!Q19"),0)</f>
        <v>0</v>
      </c>
      <c r="S19" s="306"/>
    </row>
    <row r="20" customFormat="false" ht="14.65" hidden="false" customHeight="false" outlineLevel="0" collapsed="false">
      <c r="B20" s="307" t="s">
        <v>144</v>
      </c>
      <c r="C20" s="308" t="n">
        <f aca="false">VLOOKUP(B20,'Set up'!$B$62:$O$89,2+$G$1,FALSE())</f>
        <v>50</v>
      </c>
      <c r="D20" s="318" t="n">
        <v>50</v>
      </c>
      <c r="E20" s="310" t="str">
        <f aca="false">TRIM(CLEAN(INDEX('Set up'!$D$63:$O$87,MATCH(B20,'Set up'!$B$62:$B$89,0),+$G$1)))</f>
        <v>5</v>
      </c>
      <c r="F20" s="311" t="n">
        <f aca="false">G20+I20+K20+M20+O20+Q20</f>
        <v>6</v>
      </c>
      <c r="G20" s="312" t="n">
        <v>4</v>
      </c>
      <c r="H20" s="313" t="n">
        <f aca="true">IF($G$1&lt;&gt;1,INDIRECT("period"&amp;$G$1-1&amp;"!G20"),0)</f>
        <v>4</v>
      </c>
      <c r="I20" s="312" t="n">
        <v>2</v>
      </c>
      <c r="J20" s="313" t="n">
        <f aca="true">IF($G$1&lt;&gt;1,INDIRECT("period"&amp;$G$1-1&amp;"!I27"),0)</f>
        <v>0</v>
      </c>
      <c r="K20" s="312" t="n">
        <v>0</v>
      </c>
      <c r="L20" s="313" t="n">
        <f aca="true">IF($G$1&lt;&gt;1,INDIRECT("period"&amp;$G$1-1&amp;"!K20"),0)</f>
        <v>0</v>
      </c>
      <c r="M20" s="312" t="n">
        <v>0</v>
      </c>
      <c r="N20" s="313" t="n">
        <f aca="true">IF($G$1&lt;&gt;1,INDIRECT("period"&amp;$G$1-1&amp;"!M20"),0)</f>
        <v>0</v>
      </c>
      <c r="O20" s="312" t="n">
        <v>0</v>
      </c>
      <c r="P20" s="313" t="n">
        <f aca="true">IF($G$1&lt;&gt;1,INDIRECT("period"&amp;$G$1-1&amp;"!O20"),0)</f>
        <v>0</v>
      </c>
      <c r="Q20" s="312" t="n">
        <v>0</v>
      </c>
      <c r="R20" s="313" t="n">
        <f aca="true">IF($G$1&lt;&gt;1,INDIRECT("period"&amp;$G$1-1&amp;"!Q20"),0)</f>
        <v>0</v>
      </c>
      <c r="S20" s="306"/>
    </row>
    <row r="21" customFormat="false" ht="14.65" hidden="false" customHeight="false" outlineLevel="0" collapsed="false">
      <c r="B21" s="314" t="s">
        <v>145</v>
      </c>
      <c r="C21" s="308" t="n">
        <f aca="false">VLOOKUP(B21,'Set up'!$B$62:$O$89,2+$G$1,FALSE())</f>
        <v>50</v>
      </c>
      <c r="D21" s="315" t="n">
        <v>50</v>
      </c>
      <c r="E21" s="316" t="str">
        <f aca="false">TRIM(CLEAN(INDEX('Set up'!$D$63:$O$87,MATCH(B21,'Set up'!$B$62:$B$89,0),+$G$1)))</f>
        <v>4</v>
      </c>
      <c r="F21" s="317" t="n">
        <f aca="false">G21+I21+K21+M21+O21+Q21</f>
        <v>5</v>
      </c>
      <c r="G21" s="304" t="n">
        <v>3</v>
      </c>
      <c r="H21" s="305" t="n">
        <f aca="true">IF($G$1&lt;&gt;1,INDIRECT("period"&amp;$G$1-1&amp;"!G21"),0)</f>
        <v>3</v>
      </c>
      <c r="I21" s="304" t="n">
        <v>2</v>
      </c>
      <c r="J21" s="305" t="n">
        <f aca="true">IF($G$1&lt;&gt;1,INDIRECT("period"&amp;$G$1-1&amp;"!I21"),0)</f>
        <v>1</v>
      </c>
      <c r="K21" s="304" t="n">
        <v>0</v>
      </c>
      <c r="L21" s="305" t="n">
        <f aca="true">IF($G$1&lt;&gt;1,INDIRECT("period"&amp;$G$1-1&amp;"!K21"),0)</f>
        <v>0</v>
      </c>
      <c r="M21" s="304" t="n">
        <v>0</v>
      </c>
      <c r="N21" s="305" t="n">
        <f aca="true">IF($G$1&lt;&gt;1,INDIRECT("period"&amp;$G$1-1&amp;"!M21"),0)</f>
        <v>0</v>
      </c>
      <c r="O21" s="304" t="n">
        <v>0</v>
      </c>
      <c r="P21" s="305" t="n">
        <f aca="true">IF($G$1&lt;&gt;1,INDIRECT("period"&amp;$G$1-1&amp;"!O21"),0)</f>
        <v>0</v>
      </c>
      <c r="Q21" s="304" t="n">
        <v>0</v>
      </c>
      <c r="R21" s="305" t="n">
        <f aca="true">IF($G$1&lt;&gt;1,INDIRECT("period"&amp;$G$1-1&amp;"!Q21"),0)</f>
        <v>0</v>
      </c>
      <c r="S21" s="319"/>
    </row>
    <row r="22" customFormat="false" ht="14.65" hidden="false" customHeight="false" outlineLevel="0" collapsed="false">
      <c r="B22" s="307" t="s">
        <v>147</v>
      </c>
      <c r="C22" s="308" t="n">
        <f aca="false">VLOOKUP(B22,'Set up'!$B$62:$O$89,2+$G$1,FALSE())</f>
        <v>0</v>
      </c>
      <c r="D22" s="318" t="n">
        <v>0</v>
      </c>
      <c r="E22" s="310" t="str">
        <f aca="false">TRIM(CLEAN(INDEX('Set up'!$D$63:$O$87,MATCH(B22,'Set up'!$B$62:$B$89,0),+$G$1)))</f>
        <v>0</v>
      </c>
      <c r="F22" s="311" t="n">
        <f aca="false">G22+I22+K22+M22+O22+Q22</f>
        <v>0</v>
      </c>
      <c r="G22" s="312" t="n">
        <v>0</v>
      </c>
      <c r="H22" s="313" t="n">
        <f aca="true">IF($G$1&lt;&gt;1,INDIRECT("period"&amp;$G$1-1&amp;"!G22"),0)</f>
        <v>0</v>
      </c>
      <c r="I22" s="312" t="n">
        <v>0</v>
      </c>
      <c r="J22" s="313" t="n">
        <f aca="true">IF($G$1&lt;&gt;1,INDIRECT("period"&amp;$G$1-1&amp;"!i22"),0)</f>
        <v>0</v>
      </c>
      <c r="K22" s="312" t="n">
        <v>0</v>
      </c>
      <c r="L22" s="313" t="n">
        <f aca="true">IF($G$1&lt;&gt;1,INDIRECT("period"&amp;$G$1-1&amp;"!G22"),0)</f>
        <v>0</v>
      </c>
      <c r="M22" s="312" t="n">
        <v>0</v>
      </c>
      <c r="N22" s="313" t="n">
        <f aca="true">IF($G$1&lt;&gt;1,INDIRECT("period"&amp;$G$1-1&amp;"!M22"),0)</f>
        <v>0</v>
      </c>
      <c r="O22" s="312" t="n">
        <v>0</v>
      </c>
      <c r="P22" s="313" t="n">
        <f aca="true">IF($G$1&lt;&gt;1,INDIRECT("period"&amp;$G$1-1&amp;"!O22"),0)</f>
        <v>0</v>
      </c>
      <c r="Q22" s="312" t="n">
        <v>0</v>
      </c>
      <c r="R22" s="313" t="n">
        <f aca="true">IF($G$1&lt;&gt;1,INDIRECT("period"&amp;$G$1-1&amp;"!Q22"),0)</f>
        <v>0</v>
      </c>
      <c r="S22" s="306"/>
    </row>
    <row r="23" customFormat="false" ht="14.65" hidden="false" customHeight="false" outlineLevel="0" collapsed="false">
      <c r="B23" s="320" t="s">
        <v>146</v>
      </c>
      <c r="C23" s="321" t="n">
        <f aca="false">VLOOKUP(B23,'Set up'!$B$62:$O$89,2+$G$1,FALSE())</f>
        <v>0</v>
      </c>
      <c r="D23" s="322" t="n">
        <v>0</v>
      </c>
      <c r="E23" s="323" t="str">
        <f aca="false">TRIM(CLEAN(INDEX('Set up'!$D$63:$O$87,MATCH(B23,'Set up'!$B$62:$B$89,0),+$G$1)))</f>
        <v>0</v>
      </c>
      <c r="F23" s="324" t="n">
        <f aca="false">G23+I23+K23+M23+O23+Q23</f>
        <v>0</v>
      </c>
      <c r="G23" s="325" t="n">
        <v>0</v>
      </c>
      <c r="H23" s="326" t="n">
        <f aca="true">IF($G$1&lt;&gt;1,INDIRECT("period"&amp;$G$1-1&amp;"!G23"),0)</f>
        <v>0</v>
      </c>
      <c r="I23" s="325" t="n">
        <v>0</v>
      </c>
      <c r="J23" s="326" t="n">
        <f aca="true">IF($G$1&lt;&gt;1,INDIRECT("period"&amp;$G$1-1&amp;"!I23"),0)</f>
        <v>0</v>
      </c>
      <c r="K23" s="325" t="n">
        <v>0</v>
      </c>
      <c r="L23" s="326" t="n">
        <f aca="true">IF($G$1&lt;&gt;1,INDIRECT("period"&amp;$G$1-1&amp;"!K23"),0)</f>
        <v>0</v>
      </c>
      <c r="M23" s="325" t="n">
        <v>0</v>
      </c>
      <c r="N23" s="326" t="n">
        <f aca="true">IF($G$1&lt;&gt;1,INDIRECT("period"&amp;$G$1-1&amp;"!M23"),0)</f>
        <v>0</v>
      </c>
      <c r="O23" s="325" t="n">
        <v>0</v>
      </c>
      <c r="P23" s="326" t="n">
        <f aca="true">IF($G$1&lt;&gt;1,INDIRECT("period"&amp;$G$1-1&amp;"!G23"),0)</f>
        <v>0</v>
      </c>
      <c r="Q23" s="325" t="n">
        <v>0</v>
      </c>
      <c r="R23" s="326" t="n">
        <f aca="true">IF($G$1&lt;&gt;1,INDIRECT("period"&amp;$G$1-1&amp;"!Q23"),0)</f>
        <v>0</v>
      </c>
      <c r="S23" s="306"/>
    </row>
    <row r="24" customFormat="false" ht="14.65" hidden="false" customHeight="false" outlineLevel="0" collapsed="false">
      <c r="B24" s="327" t="s">
        <v>184</v>
      </c>
      <c r="C24" s="328" t="n">
        <f aca="false">SUM(C17:C23)</f>
        <v>300</v>
      </c>
      <c r="D24" s="329" t="n">
        <f aca="false">SUM(D17:D23)</f>
        <v>300</v>
      </c>
      <c r="E24" s="330"/>
      <c r="F24" s="330"/>
      <c r="S24" s="331"/>
    </row>
    <row r="25" customFormat="false" ht="14.65" hidden="false" customHeight="false" outlineLevel="0" collapsed="false">
      <c r="B25" s="332"/>
      <c r="C25" s="333"/>
      <c r="D25" s="334"/>
      <c r="E25" s="330"/>
      <c r="F25" s="330"/>
      <c r="H25" s="335"/>
      <c r="I25" s="336"/>
      <c r="J25" s="337" t="s">
        <v>185</v>
      </c>
      <c r="K25" s="336"/>
      <c r="L25" s="336"/>
      <c r="M25" s="338"/>
      <c r="S25" s="331"/>
    </row>
    <row r="26" s="42" customFormat="true" ht="14.65" hidden="false" customHeight="false" outlineLevel="0" collapsed="false">
      <c r="H26" s="339"/>
      <c r="I26" s="340"/>
      <c r="J26" s="341" t="s">
        <v>186</v>
      </c>
      <c r="K26" s="342" t="n">
        <f aca="false">G46</f>
        <v>2563.75438596491</v>
      </c>
      <c r="L26" s="343" t="s">
        <v>174</v>
      </c>
      <c r="M26" s="344"/>
    </row>
    <row r="27" s="42" customFormat="true" ht="14.65" hidden="false" customHeight="false" outlineLevel="0" collapsed="false">
      <c r="H27" s="136"/>
      <c r="I27" s="346"/>
      <c r="J27" s="347" t="s">
        <v>187</v>
      </c>
      <c r="K27" s="348" t="str">
        <f aca="false">"("&amp;G47</f>
        <v>(2300</v>
      </c>
      <c r="L27" s="349" t="s">
        <v>188</v>
      </c>
      <c r="M27" s="350"/>
    </row>
    <row r="28" s="42" customFormat="true" ht="27.25" hidden="false" customHeight="false" outlineLevel="0" collapsed="false">
      <c r="B28" s="208" t="s">
        <v>189</v>
      </c>
      <c r="G28" s="351"/>
      <c r="H28" s="351"/>
      <c r="I28" s="352"/>
      <c r="J28" s="352"/>
      <c r="K28" s="353" t="s">
        <v>190</v>
      </c>
      <c r="L28" s="353"/>
      <c r="M28" s="352"/>
      <c r="N28" s="352"/>
      <c r="O28" s="352"/>
      <c r="P28" s="352"/>
      <c r="Q28" s="354"/>
      <c r="R28" s="354"/>
    </row>
    <row r="29" s="42" customFormat="true" ht="14.65" hidden="false" customHeight="false" outlineLevel="0" collapsed="false">
      <c r="B29" s="42" t="s">
        <v>191</v>
      </c>
      <c r="G29" s="355"/>
      <c r="H29" s="355"/>
      <c r="I29" s="356"/>
      <c r="J29" s="356"/>
      <c r="K29" s="357"/>
      <c r="L29" s="357"/>
      <c r="M29" s="356"/>
      <c r="N29" s="356"/>
      <c r="O29" s="356"/>
      <c r="P29" s="356"/>
      <c r="Q29" s="358"/>
      <c r="R29" s="358"/>
      <c r="T29" s="359"/>
    </row>
    <row r="30" s="42" customFormat="true" ht="23.85" hidden="false" customHeight="false" outlineLevel="0" collapsed="false">
      <c r="G30" s="360" t="s">
        <v>123</v>
      </c>
      <c r="H30" s="361"/>
      <c r="I30" s="362" t="str">
        <f aca="false">I16</f>
        <v>Meadow Hay</v>
      </c>
      <c r="J30" s="363"/>
      <c r="K30" s="364" t="str">
        <f aca="false">K16</f>
        <v>Pasture Silage</v>
      </c>
      <c r="L30" s="365"/>
      <c r="M30" s="362" t="str">
        <f aca="false">M16</f>
        <v>Maize Silage</v>
      </c>
      <c r="N30" s="363"/>
      <c r="O30" s="366" t="str">
        <f aca="false">O16</f>
        <v>Crop</v>
      </c>
      <c r="P30" s="365"/>
      <c r="Q30" s="362" t="str">
        <f aca="false">Q16</f>
        <v>Meal</v>
      </c>
      <c r="R30" s="363"/>
    </row>
    <row r="31" s="42" customFormat="true" ht="14.65" hidden="false" customHeight="false" outlineLevel="0" collapsed="false">
      <c r="E31" s="367" t="str">
        <f aca="false">B17</f>
        <v>Milking Cows Herd A</v>
      </c>
      <c r="F31" s="368"/>
      <c r="G31" s="369" t="n">
        <f aca="false">G17*(1/INDEX('Set up'!$D$45:$O$45,1,$G$1))</f>
        <v>0</v>
      </c>
      <c r="H31" s="370"/>
      <c r="I31" s="371" t="n">
        <f aca="false">I17*100/((VLOOKUP(I$16,'Set up'!$A$50:$B$54,2,0)))</f>
        <v>0</v>
      </c>
      <c r="J31" s="371"/>
      <c r="K31" s="369" t="n">
        <f aca="false">K17*100/((VLOOKUP(K$16,'Set up'!$A$50:$B$54,2,0)))</f>
        <v>0</v>
      </c>
      <c r="L31" s="370"/>
      <c r="M31" s="369" t="n">
        <f aca="false">M17*100/((VLOOKUP(M$16,'Set up'!$A$50:$B$54,2,0)))</f>
        <v>0</v>
      </c>
      <c r="N31" s="370"/>
      <c r="O31" s="369" t="n">
        <f aca="false">O17*100/((VLOOKUP(O$16,'Set up'!$A$50:$B$54,2,0)))</f>
        <v>0</v>
      </c>
      <c r="P31" s="370"/>
      <c r="Q31" s="369" t="n">
        <f aca="false">Q17*100/((VLOOKUP(Q$16,'Set up'!$A$50:$B$54,2,0)))</f>
        <v>0</v>
      </c>
      <c r="R31" s="370"/>
    </row>
    <row r="32" s="42" customFormat="true" ht="14.65" hidden="false" customHeight="false" outlineLevel="0" collapsed="false">
      <c r="E32" s="372" t="str">
        <f aca="false">B18</f>
        <v>Dry Fats</v>
      </c>
      <c r="F32" s="373"/>
      <c r="G32" s="374" t="n">
        <f aca="false">G18*(1/INDEX('Set up'!$D$45:$O$45,1,$G$1))</f>
        <v>10</v>
      </c>
      <c r="H32" s="375"/>
      <c r="I32" s="376" t="n">
        <f aca="false">I18*100/((VLOOKUP(I$16,'Set up'!$A$50:$B$54,2,0)))</f>
        <v>0</v>
      </c>
      <c r="J32" s="376"/>
      <c r="K32" s="377" t="n">
        <f aca="false">K18*100/((VLOOKUP(K$16,'Set up'!$A$50:$B$54,2,0)))</f>
        <v>0</v>
      </c>
      <c r="L32" s="378"/>
      <c r="M32" s="377" t="n">
        <f aca="false">M18*100/((VLOOKUP(M$16,'Set up'!$A$50:$B$54,2,0)))</f>
        <v>0</v>
      </c>
      <c r="N32" s="378"/>
      <c r="O32" s="377" t="n">
        <f aca="false">O18*100/((VLOOKUP(O$16,'Set up'!$A$50:$B$54,2,0)))</f>
        <v>0</v>
      </c>
      <c r="P32" s="378"/>
      <c r="Q32" s="377" t="n">
        <f aca="false">Q18*100/((VLOOKUP(Q$16,'Set up'!$A$50:$B$54,2,0)))</f>
        <v>0</v>
      </c>
      <c r="R32" s="378"/>
    </row>
    <row r="33" s="42" customFormat="true" ht="14.65" hidden="false" customHeight="false" outlineLevel="0" collapsed="false">
      <c r="E33" s="379" t="str">
        <f aca="false">B19</f>
        <v>Dry thins</v>
      </c>
      <c r="F33" s="380"/>
      <c r="G33" s="369" t="n">
        <f aca="false">G19*(1/INDEX('Set up'!$D$45:$O$45,1,$G$1))</f>
        <v>10</v>
      </c>
      <c r="H33" s="370"/>
      <c r="I33" s="371" t="n">
        <f aca="false">I19*100/((VLOOKUP(I$16,'Set up'!$A$50:$B$54,2,0)))</f>
        <v>2.35294117647059</v>
      </c>
      <c r="J33" s="371"/>
      <c r="K33" s="369" t="n">
        <f aca="false">K19*100/((VLOOKUP(K$16,'Set up'!$A$50:$B$54,2,0)))</f>
        <v>0</v>
      </c>
      <c r="L33" s="370"/>
      <c r="M33" s="369" t="n">
        <f aca="false">M19*100/((VLOOKUP(M$16,'Set up'!$A$50:$B$54,2,0)))</f>
        <v>0</v>
      </c>
      <c r="N33" s="370"/>
      <c r="O33" s="369" t="n">
        <f aca="false">O19*100/((VLOOKUP(O$16,'Set up'!$A$50:$B$54,2,0)))</f>
        <v>0</v>
      </c>
      <c r="P33" s="370"/>
      <c r="Q33" s="369" t="n">
        <f aca="false">Q19*100/((VLOOKUP(Q$16,'Set up'!$A$50:$B$54,2,0)))</f>
        <v>0</v>
      </c>
      <c r="R33" s="370"/>
    </row>
    <row r="34" s="42" customFormat="true" ht="14.65" hidden="false" customHeight="false" outlineLevel="0" collapsed="false">
      <c r="E34" s="372" t="str">
        <f aca="false">B20</f>
        <v>R 2yr heifers</v>
      </c>
      <c r="F34" s="373"/>
      <c r="G34" s="374" t="n">
        <f aca="false">G20*(1/INDEX('Set up'!$D$45:$O$45,1,$G$1))</f>
        <v>4.44444444444444</v>
      </c>
      <c r="H34" s="375"/>
      <c r="I34" s="381" t="n">
        <f aca="false">I20*100/((VLOOKUP(I$16,'Set up'!$A$50:$B$54,2,0)))</f>
        <v>2.35294117647059</v>
      </c>
      <c r="J34" s="381"/>
      <c r="K34" s="382" t="n">
        <f aca="false">K20*100/((VLOOKUP(K$16,'Set up'!$A$50:$B$54,2,0)))</f>
        <v>0</v>
      </c>
      <c r="L34" s="383"/>
      <c r="M34" s="382" t="n">
        <f aca="false">M20*100/((VLOOKUP(M$16,'Set up'!$A$50:$B$54,2,0)))</f>
        <v>0</v>
      </c>
      <c r="N34" s="383"/>
      <c r="O34" s="382" t="n">
        <f aca="false">O20*100/((VLOOKUP(O$16,'Set up'!$A$50:$B$54,2,0)))</f>
        <v>0</v>
      </c>
      <c r="P34" s="383"/>
      <c r="Q34" s="382" t="n">
        <f aca="false">Q20*100/((VLOOKUP(Q$16,'Set up'!$A$50:$B$54,2,0)))</f>
        <v>0</v>
      </c>
      <c r="R34" s="383"/>
    </row>
    <row r="35" s="42" customFormat="true" ht="14.65" hidden="false" customHeight="false" outlineLevel="0" collapsed="false">
      <c r="E35" s="367" t="str">
        <f aca="false">B21</f>
        <v>Heifer Calves</v>
      </c>
      <c r="F35" s="368"/>
      <c r="G35" s="369" t="n">
        <f aca="false">G21*(1/INDEX('Set up'!$D$45:$O$45,1,$G$1))</f>
        <v>3.33333333333333</v>
      </c>
      <c r="H35" s="370"/>
      <c r="I35" s="371" t="n">
        <f aca="false">I21*100/((VLOOKUP(I$16,'Set up'!$A$50:$B$54,2,0)))</f>
        <v>2.35294117647059</v>
      </c>
      <c r="J35" s="371"/>
      <c r="K35" s="369" t="n">
        <f aca="false">K21*100/((VLOOKUP(K$16,'Set up'!$A$50:$B$54,2,0)))</f>
        <v>0</v>
      </c>
      <c r="L35" s="370"/>
      <c r="M35" s="369" t="n">
        <f aca="false">M21*100/((VLOOKUP(M$16,'Set up'!$A$50:$B$54,2,0)))</f>
        <v>0</v>
      </c>
      <c r="N35" s="370"/>
      <c r="O35" s="369" t="n">
        <f aca="false">O21*100/((VLOOKUP(O$16,'Set up'!$A$50:$B$54,2,0)))</f>
        <v>0</v>
      </c>
      <c r="P35" s="370"/>
      <c r="Q35" s="369" t="n">
        <f aca="false">Q21*100/((VLOOKUP(Q$16,'Set up'!$A$50:$B$54,2,0)))</f>
        <v>0</v>
      </c>
      <c r="R35" s="370"/>
    </row>
    <row r="36" s="42" customFormat="true" ht="14.65" hidden="false" customHeight="false" outlineLevel="0" collapsed="false">
      <c r="E36" s="372" t="str">
        <f aca="false">B22</f>
        <v>Bulls</v>
      </c>
      <c r="F36" s="373"/>
      <c r="G36" s="374" t="n">
        <f aca="false">G22*(1/INDEX('Set up'!$D$45:$O$45,1,$G$1))</f>
        <v>0</v>
      </c>
      <c r="H36" s="375"/>
      <c r="I36" s="381" t="n">
        <f aca="false">I22*100/((VLOOKUP(I$16,'Set up'!$A$50:$B$54,2,0)))</f>
        <v>0</v>
      </c>
      <c r="J36" s="381"/>
      <c r="K36" s="382" t="n">
        <f aca="false">K22*100/((VLOOKUP(K$16,'Set up'!$A$50:$B$54,2,0)))</f>
        <v>0</v>
      </c>
      <c r="L36" s="383"/>
      <c r="M36" s="382" t="n">
        <f aca="false">M22*100/((VLOOKUP(M$16,'Set up'!$A$50:$B$54,2,0)))</f>
        <v>0</v>
      </c>
      <c r="N36" s="383"/>
      <c r="O36" s="382" t="n">
        <f aca="false">O22*100/((VLOOKUP(O$16,'Set up'!$A$50:$B$54,2,0)))</f>
        <v>0</v>
      </c>
      <c r="P36" s="383"/>
      <c r="Q36" s="382" t="n">
        <f aca="false">Q22*100/((VLOOKUP(Q$16,'Set up'!$A$50:$B$54,2,0)))</f>
        <v>0</v>
      </c>
      <c r="R36" s="383"/>
    </row>
    <row r="37" s="42" customFormat="true" ht="14.65" hidden="false" customHeight="false" outlineLevel="0" collapsed="false">
      <c r="E37" s="379" t="str">
        <f aca="false">B23</f>
        <v>Bull Calves</v>
      </c>
      <c r="F37" s="380"/>
      <c r="G37" s="369" t="n">
        <f aca="false">G23*(1/INDEX('Set up'!$D$45:$O$45,1,$G$1))</f>
        <v>0</v>
      </c>
      <c r="H37" s="370"/>
      <c r="I37" s="371" t="n">
        <f aca="false">I23*100/((VLOOKUP(I$16,'Set up'!$A$50:$B$54,2,0)))</f>
        <v>0</v>
      </c>
      <c r="J37" s="371"/>
      <c r="K37" s="369" t="n">
        <f aca="false">K23*100/((VLOOKUP(K$16,'Set up'!$A$50:$B$54,2,0)))</f>
        <v>0</v>
      </c>
      <c r="L37" s="370"/>
      <c r="M37" s="369" t="n">
        <f aca="false">M23*100/((VLOOKUP(M$16,'Set up'!$A$50:$B$54,2,0)))</f>
        <v>0</v>
      </c>
      <c r="N37" s="370"/>
      <c r="O37" s="369" t="n">
        <f aca="false">O23*100/((VLOOKUP(O$16,'Set up'!$A$50:$B$54,2,0)))</f>
        <v>0</v>
      </c>
      <c r="P37" s="370"/>
      <c r="Q37" s="369" t="n">
        <f aca="false">Q23*100/((VLOOKUP(Q$16,'Set up'!$A$50:$B$54,2,0)))</f>
        <v>0</v>
      </c>
      <c r="R37" s="370"/>
    </row>
    <row r="38" s="105" customFormat="true" ht="14.95" hidden="false" customHeight="false" outlineLevel="0" collapsed="false">
      <c r="B38" s="384"/>
      <c r="C38" s="385"/>
      <c r="D38" s="386"/>
      <c r="E38" s="386"/>
      <c r="F38" s="387" t="s">
        <v>192</v>
      </c>
      <c r="G38" s="388" t="n">
        <f aca="false">(($G17*$D17)+($G18*$D18)+($G19*$D19)+($G20*$D20)+($G21*$D21)+($G22*$D22)+($G23*$D23))*(1/INDEX('Set up'!$D45:$O45,1,$G$1))</f>
        <v>2388.88888888889</v>
      </c>
      <c r="H38" s="388"/>
      <c r="I38" s="389" t="n">
        <f aca="false">((I17*$D17)+(I18*$D18)+(I19*$D19)+(I20*$D20)+(I21*$D21)+(I22*$D22)+(I23*$D23))*(100/VLOOKUP($F6,'Set up'!$A$50:$C$54,2,0))</f>
        <v>470.588235294118</v>
      </c>
      <c r="J38" s="390"/>
      <c r="K38" s="389" t="n">
        <f aca="false">((K17*$D17)+(K18*$D18)+(K19*$D19)+(K20*$D20)+(K21*$D21)+(K22*$D22)+(K23*$D23))*(100/VLOOKUP($F7,'Set up'!$A$50:$C$54,2,0))</f>
        <v>0</v>
      </c>
      <c r="L38" s="390"/>
      <c r="M38" s="389" t="n">
        <f aca="false">((M17*$D17)+(M18*$D18)+(M19*$D19)+(M20*$D20)+(M21*$D21)+(M22*$D22)+(M23*$D23))*(100/VLOOKUP($F8,'Set up'!$A$50:$C$54,2,0))</f>
        <v>0</v>
      </c>
      <c r="N38" s="390"/>
      <c r="O38" s="389" t="n">
        <f aca="false">((O17*$D17)+(O18*$D18)+(O19*$D19)+(O20*$D20)+(O21*$D21)+(O22*$D22)+(O23*$D23))*(100/VLOOKUP($F9,'Set up'!$A$50:$C$54,2,0))</f>
        <v>0</v>
      </c>
      <c r="P38" s="390"/>
      <c r="Q38" s="389" t="n">
        <f aca="false">((Q17*$D17)+(Q18*$D18)+(Q19*$D19)+(Q20*$D20)+(Q21*$D21)+(Q22*$D22)+(Q23*$D23))*(100/VLOOKUP($F10,'Set up'!$A$50:$C$54,2,0))</f>
        <v>0</v>
      </c>
      <c r="R38" s="390"/>
      <c r="S38" s="331"/>
    </row>
    <row r="39" s="42" customFormat="true" ht="14.95" hidden="false" customHeight="false" outlineLevel="0" collapsed="false">
      <c r="B39" s="391"/>
      <c r="C39" s="392"/>
      <c r="D39" s="392"/>
      <c r="E39" s="392"/>
      <c r="F39" s="393" t="s">
        <v>193</v>
      </c>
      <c r="G39" s="394" t="n">
        <f aca="false">G38*$C$5</f>
        <v>71666.6666666667</v>
      </c>
      <c r="H39" s="394"/>
      <c r="I39" s="395" t="n">
        <f aca="false">I38*$C$5</f>
        <v>14117.6470588235</v>
      </c>
      <c r="J39" s="396"/>
      <c r="K39" s="395" t="n">
        <f aca="false">K38*$C$5</f>
        <v>0</v>
      </c>
      <c r="L39" s="396"/>
      <c r="M39" s="395" t="n">
        <f aca="false">M38*$C$5</f>
        <v>0</v>
      </c>
      <c r="N39" s="396"/>
      <c r="O39" s="395" t="n">
        <f aca="false">O38*$C$5</f>
        <v>0</v>
      </c>
      <c r="P39" s="396"/>
      <c r="Q39" s="395" t="n">
        <f aca="false">Q38*$C$5</f>
        <v>0</v>
      </c>
      <c r="R39" s="396"/>
    </row>
    <row r="40" s="42" customFormat="true" ht="14.95" hidden="false" customHeight="false" outlineLevel="0" collapsed="false">
      <c r="B40" s="42" t="s">
        <v>194</v>
      </c>
    </row>
    <row r="41" s="42" customFormat="true" ht="14.75" hidden="false" customHeight="true" outlineLevel="0" collapsed="false"/>
    <row r="42" customFormat="false" ht="14.75" hidden="false" customHeight="true" outlineLevel="0" collapsed="false">
      <c r="Q42" s="52"/>
      <c r="R42" s="52"/>
      <c r="S42" s="44"/>
    </row>
    <row r="43" s="42" customFormat="true" ht="32" hidden="false" customHeight="true" outlineLevel="0" collapsed="false">
      <c r="B43" s="208" t="s">
        <v>195</v>
      </c>
    </row>
    <row r="44" s="42" customFormat="true" ht="32" hidden="false" customHeight="true" outlineLevel="0" collapsed="false">
      <c r="B44" s="208"/>
    </row>
    <row r="45" s="42" customFormat="true" ht="14.65" hidden="false" customHeight="false" outlineLevel="0" collapsed="false">
      <c r="B45" s="44"/>
      <c r="C45" s="237"/>
      <c r="D45" s="397"/>
      <c r="E45" s="397"/>
      <c r="F45" s="398" t="s">
        <v>196</v>
      </c>
      <c r="G45" s="399" t="n">
        <f aca="true">IF(G1=1,'Set up'!$D$35,INDIRECT("period"&amp;$G$1-1&amp;"!G46"))</f>
        <v>2680.42105263158</v>
      </c>
      <c r="H45" s="400" t="s">
        <v>197</v>
      </c>
      <c r="I45" s="401"/>
      <c r="J45" s="402"/>
      <c r="K45" s="213" t="str">
        <f aca="false">IF(G1=1,"*NB: For Period1, enter the opening  Av Farm Cover in cell D37 in 'Set up'","NB: Opening av farm cover is the previous period's forecasted closing av farm cover")</f>
        <v>NB: Opening av farm cover is the previous period's forecasted closing av farm cover</v>
      </c>
      <c r="P45" s="44"/>
      <c r="V45" s="345"/>
      <c r="W45" s="2"/>
    </row>
    <row r="46" s="42" customFormat="true" ht="14.65" hidden="false" customHeight="false" outlineLevel="0" collapsed="false">
      <c r="B46" s="44"/>
      <c r="C46" s="403"/>
      <c r="D46" s="404"/>
      <c r="E46" s="404"/>
      <c r="F46" s="405" t="s">
        <v>198</v>
      </c>
      <c r="G46" s="406" t="n">
        <f aca="false">($G$45+ ($C$5*$C$12) -(G39/C11))</f>
        <v>2563.75438596491</v>
      </c>
      <c r="H46" s="407" t="s">
        <v>197</v>
      </c>
      <c r="I46" s="408"/>
      <c r="J46" s="409"/>
      <c r="K46" s="410"/>
      <c r="P46" s="44"/>
    </row>
    <row r="47" s="42" customFormat="true" ht="14.65" hidden="false" customHeight="false" outlineLevel="0" collapsed="false">
      <c r="B47" s="44"/>
      <c r="C47" s="411"/>
      <c r="D47" s="412"/>
      <c r="E47" s="412"/>
      <c r="F47" s="413" t="s">
        <v>199</v>
      </c>
      <c r="G47" s="429" t="n">
        <f aca="false">INDEX('Set up'!$D37:$O37,1,G1)</f>
        <v>2300</v>
      </c>
      <c r="H47" s="415" t="s">
        <v>197</v>
      </c>
      <c r="I47" s="416"/>
      <c r="J47" s="417"/>
      <c r="K47" s="410"/>
      <c r="P47" s="331"/>
      <c r="V47" s="345"/>
    </row>
    <row r="48" s="42" customFormat="true" ht="14.65" hidden="false" customHeight="false" outlineLevel="0" collapsed="false">
      <c r="B48" s="44"/>
      <c r="C48" s="247"/>
      <c r="D48" s="418"/>
      <c r="E48" s="418"/>
      <c r="F48" s="419" t="s">
        <v>200</v>
      </c>
      <c r="G48" s="420" t="n">
        <f aca="false">G46-G47</f>
        <v>263.754385964912</v>
      </c>
      <c r="H48" s="407" t="s">
        <v>197</v>
      </c>
      <c r="I48" s="408"/>
      <c r="J48" s="421"/>
      <c r="K48" s="422" t="s">
        <v>201</v>
      </c>
      <c r="P48" s="331"/>
    </row>
    <row r="49" s="42" customFormat="true" ht="14.65" hidden="false" customHeight="false" outlineLevel="0" collapsed="false">
      <c r="B49" s="44"/>
      <c r="C49" s="269"/>
      <c r="D49" s="423"/>
      <c r="E49" s="423"/>
      <c r="F49" s="424" t="s">
        <v>202</v>
      </c>
      <c r="G49" s="425" t="n">
        <f aca="false">G48*C11</f>
        <v>26375.4385964912</v>
      </c>
      <c r="H49" s="426" t="str">
        <f aca="false">"kg DM total over  nett "&amp;C11&amp;" ha"</f>
        <v>kg DM total over  nett 100 ha</v>
      </c>
      <c r="I49" s="427"/>
      <c r="J49" s="428"/>
      <c r="K49" s="410"/>
      <c r="P49" s="331"/>
      <c r="Q49" s="42" t="str">
        <f aca="false">CONCATENATE(Q43,S43)</f>
        <v/>
      </c>
    </row>
  </sheetData>
  <sheetProtection sheet="true" objects="true" scenarios="true" selectLockedCells="true"/>
  <mergeCells count="1">
    <mergeCell ref="Y15:AD15"/>
  </mergeCells>
  <dataValidations count="4">
    <dataValidation allowBlank="false" operator="equal" showDropDown="false" showErrorMessage="false" showInputMessage="false" sqref="F6 F8:F10" type="list">
      <formula1>'Set up'!$A$50:$A$54</formula1>
      <formula2>0</formula2>
    </dataValidation>
    <dataValidation allowBlank="false" operator="equal" showDropDown="false" showErrorMessage="false" showInputMessage="false" sqref="F7" type="list">
      <formula1>'Set up'!$A$50:$A$54</formula1>
      <formula2>0</formula2>
    </dataValidation>
    <dataValidation allowBlank="true" operator="equal" showDropDown="false" showErrorMessage="false" showInputMessage="false" sqref="B17" type="list">
      <formula1>'Set up'!$B$62:$B$90</formula1>
      <formula2>0</formula2>
    </dataValidation>
    <dataValidation allowBlank="true" operator="equal" showDropDown="false" showErrorMessage="false" showInputMessage="false" sqref="B18:B23" type="list">
      <formula1>'Set up'!$B$62:$B$89</formula1>
      <formula2>0</formula2>
    </dataValidation>
  </dataValidation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&amp;C&amp;"Arial,Regular"&amp;A</oddHeader>
    <oddFooter>&amp;C&amp;"Arial,Regular"Page &amp;P</oddFooter>
  </headerFooter>
  <drawing r:id="rId2"/>
  <legacyDrawing r:id="rId3"/>
</worksheet>
</file>

<file path=xl/worksheets/sheet7.xml><?xml version="1.0" encoding="utf-8"?>
<worksheet xmlns="http://schemas.openxmlformats.org/spreadsheetml/2006/main" xmlns:r="http://schemas.openxmlformats.org/officeDocument/2006/relationships">
  <sheetPr filterMode="false">
    <pageSetUpPr fitToPage="false"/>
  </sheetPr>
  <dimension ref="A1:AD49"/>
  <sheetViews>
    <sheetView showFormulas="false" showGridLines="false" showRowColHeaders="true" showZeros="true" rightToLeft="false" tabSelected="false" showOutlineSymbols="true" defaultGridColor="true" view="normal" topLeftCell="A1" colorId="64" zoomScale="110" zoomScaleNormal="110" zoomScalePageLayoutView="100" workbookViewId="0">
      <selection pane="topLeft" activeCell="B2" activeCellId="0" sqref="B2"/>
    </sheetView>
  </sheetViews>
  <sheetFormatPr defaultRowHeight="14.65" zeroHeight="false" outlineLevelRow="0" outlineLevelCol="0"/>
  <cols>
    <col collapsed="false" customWidth="true" hidden="false" outlineLevel="0" max="1" min="1" style="42" width="4.08"/>
    <col collapsed="false" customWidth="true" hidden="false" outlineLevel="0" max="2" min="2" style="42" width="30.91"/>
    <col collapsed="false" customWidth="true" hidden="false" outlineLevel="0" max="3" min="3" style="42" width="9.88"/>
    <col collapsed="false" customWidth="true" hidden="false" outlineLevel="0" max="4" min="4" style="42" width="10.51"/>
    <col collapsed="false" customWidth="true" hidden="false" outlineLevel="0" max="5" min="5" style="42" width="12.08"/>
    <col collapsed="false" customWidth="true" hidden="false" outlineLevel="0" max="6" min="6" style="42" width="11.76"/>
    <col collapsed="false" customWidth="true" hidden="false" outlineLevel="0" max="7" min="7" style="42" width="10.2"/>
    <col collapsed="false" customWidth="true" hidden="false" outlineLevel="0" max="8" min="8" style="42" width="5.1"/>
    <col collapsed="false" customWidth="true" hidden="false" outlineLevel="0" max="9" min="9" style="42" width="10.2"/>
    <col collapsed="false" customWidth="true" hidden="false" outlineLevel="0" max="10" min="10" style="42" width="5.1"/>
    <col collapsed="false" customWidth="true" hidden="false" outlineLevel="0" max="11" min="11" style="42" width="10.2"/>
    <col collapsed="false" customWidth="true" hidden="false" outlineLevel="0" max="12" min="12" style="42" width="5.1"/>
    <col collapsed="false" customWidth="true" hidden="false" outlineLevel="0" max="13" min="13" style="42" width="10.2"/>
    <col collapsed="false" customWidth="true" hidden="false" outlineLevel="0" max="14" min="14" style="42" width="5.1"/>
    <col collapsed="false" customWidth="true" hidden="false" outlineLevel="0" max="15" min="15" style="42" width="10.2"/>
    <col collapsed="false" customWidth="true" hidden="false" outlineLevel="0" max="16" min="16" style="42" width="5.1"/>
    <col collapsed="false" customWidth="true" hidden="false" outlineLevel="0" max="17" min="17" style="42" width="10.2"/>
    <col collapsed="false" customWidth="true" hidden="false" outlineLevel="0" max="18" min="18" style="42" width="5.1"/>
    <col collapsed="false" customWidth="true" hidden="false" outlineLevel="0" max="19" min="19" style="105" width="4.08"/>
    <col collapsed="false" customWidth="true" hidden="false" outlineLevel="0" max="1025" min="20" style="42" width="13.38"/>
  </cols>
  <sheetData>
    <row r="1" customFormat="false" ht="26.55" hidden="false" customHeight="false" outlineLevel="0" collapsed="false">
      <c r="B1" s="197" t="s">
        <v>151</v>
      </c>
      <c r="C1" s="198" t="str">
        <f aca="false">'Set up'!D4</f>
        <v>Farm A</v>
      </c>
      <c r="D1" s="199"/>
      <c r="E1" s="200"/>
      <c r="F1" s="200" t="s">
        <v>152</v>
      </c>
      <c r="G1" s="201" t="n">
        <v>4</v>
      </c>
      <c r="H1" s="202"/>
      <c r="I1" s="44"/>
      <c r="J1" s="44"/>
      <c r="M1" s="203" t="s">
        <v>153</v>
      </c>
      <c r="N1" s="105"/>
      <c r="O1" s="47"/>
      <c r="P1" s="47"/>
      <c r="S1" s="52"/>
    </row>
    <row r="2" customFormat="false" ht="32.35" hidden="false" customHeight="false" outlineLevel="0" collapsed="false">
      <c r="B2" s="204" t="s">
        <v>2</v>
      </c>
      <c r="C2" s="198"/>
      <c r="D2" s="199"/>
      <c r="E2" s="205"/>
      <c r="F2" s="206" t="s">
        <v>154</v>
      </c>
      <c r="I2" s="56"/>
      <c r="J2" s="56"/>
      <c r="K2" s="207"/>
      <c r="L2" s="207"/>
      <c r="M2" s="44"/>
      <c r="N2" s="44"/>
      <c r="O2" s="47"/>
      <c r="P2" s="47"/>
      <c r="S2" s="52"/>
    </row>
    <row r="3" s="42" customFormat="true" ht="26.45" hidden="false" customHeight="false" outlineLevel="0" collapsed="false">
      <c r="B3" s="208" t="s">
        <v>155</v>
      </c>
      <c r="D3" s="56"/>
      <c r="I3" s="209" t="s">
        <v>156</v>
      </c>
      <c r="J3" s="210"/>
    </row>
    <row r="4" s="42" customFormat="true" ht="14.65" hidden="false" customHeight="false" outlineLevel="0" collapsed="false">
      <c r="B4" s="211" t="s">
        <v>157</v>
      </c>
      <c r="C4" s="212" t="n">
        <f aca="false">HLOOKUP($G$1,'Set up'!$D$12:$O$15,3,0)</f>
        <v>43282</v>
      </c>
      <c r="D4" s="213"/>
      <c r="F4" s="214"/>
      <c r="G4" s="215" t="s">
        <v>158</v>
      </c>
      <c r="H4" s="216"/>
      <c r="I4" s="217" t="s">
        <v>159</v>
      </c>
      <c r="J4" s="216"/>
      <c r="K4" s="218" t="s">
        <v>160</v>
      </c>
      <c r="L4" s="219"/>
      <c r="M4" s="220" t="s">
        <v>161</v>
      </c>
      <c r="N4" s="221"/>
      <c r="O4" s="105"/>
      <c r="P4" s="222"/>
      <c r="Q4" s="105"/>
      <c r="R4" s="105"/>
    </row>
    <row r="5" s="42" customFormat="true" ht="14.65" hidden="false" customHeight="false" outlineLevel="0" collapsed="false">
      <c r="B5" s="223" t="s">
        <v>162</v>
      </c>
      <c r="C5" s="224" t="n">
        <f aca="false">HLOOKUP($G$1,'Set up'!$D$12:$O$15,4,0)</f>
        <v>31</v>
      </c>
      <c r="D5" s="199"/>
      <c r="F5" s="222" t="s">
        <v>163</v>
      </c>
      <c r="G5" s="225" t="s">
        <v>164</v>
      </c>
      <c r="H5" s="226"/>
      <c r="I5" s="227" t="s">
        <v>165</v>
      </c>
      <c r="J5" s="227"/>
      <c r="K5" s="228" t="s">
        <v>165</v>
      </c>
      <c r="L5" s="229"/>
      <c r="M5" s="230" t="s">
        <v>164</v>
      </c>
      <c r="N5" s="231"/>
      <c r="O5" s="222"/>
      <c r="P5" s="222"/>
      <c r="Q5" s="105"/>
      <c r="R5" s="232"/>
    </row>
    <row r="6" s="42" customFormat="true" ht="14.65" hidden="false" customHeight="false" outlineLevel="0" collapsed="false">
      <c r="B6" s="233" t="s">
        <v>166</v>
      </c>
      <c r="C6" s="234" t="n">
        <f aca="false">C4+C5</f>
        <v>43313</v>
      </c>
      <c r="D6" s="199"/>
      <c r="F6" s="235" t="s">
        <v>131</v>
      </c>
      <c r="G6" s="236" t="n">
        <f aca="false">IF($G$1=1, VLOOKUP(F6,'Set up'!$A$50:$D$54,3,0),VLOOKUP(F6,'Set up'!$A$50:$O$54,$G$1+2,0))</f>
        <v>42823.5294117647</v>
      </c>
      <c r="H6" s="237"/>
      <c r="I6" s="238" t="n">
        <f aca="false">(($D$17*I$17*$C$5)+($D$18*I$18*$C$5)+($D$19*I$19*$C$5)+($D$20*I$20*$C$5)+($D$21*I$21*$C$5)+($D$22*I$22*$C$5)+($D$23*I$23*$C$5))*(100/VLOOKUP(F6,'Set up'!$A$50:$C$54,2,0))</f>
        <v>16047.0588235294</v>
      </c>
      <c r="J6" s="239"/>
      <c r="K6" s="240" t="n">
        <v>0</v>
      </c>
      <c r="L6" s="237"/>
      <c r="M6" s="241" t="n">
        <f aca="false">G6-I6+K6</f>
        <v>26776.4705882353</v>
      </c>
      <c r="N6" s="242"/>
      <c r="O6" s="44"/>
      <c r="P6" s="44"/>
      <c r="Q6" s="105"/>
      <c r="R6" s="243"/>
    </row>
    <row r="7" s="42" customFormat="true" ht="14.65" hidden="false" customHeight="false" outlineLevel="0" collapsed="false">
      <c r="B7" s="244"/>
      <c r="C7" s="213"/>
      <c r="F7" s="245" t="s">
        <v>129</v>
      </c>
      <c r="G7" s="246" t="n">
        <f aca="false">IF($G$1=1, VLOOKUP(F7,'Set up'!$A$50:$D$54,3,0),VLOOKUP(F7,'Set up'!$A$50:$O$54,$G$1+2,0))</f>
        <v>90000</v>
      </c>
      <c r="H7" s="247"/>
      <c r="I7" s="248" t="n">
        <f aca="false">((($D$17*K$17*$C$5)+($D$18*K$18*$C$5)+($D$19*K$19*$C$5)+($D$20*K$20*$C$5)+($D$21*K$21*$C$5)+($D$22*K$22*$C$5)+($D$23*K$23*$C$5)))*(100/VLOOKUP(F7,'Set up'!$A$50:$C$54,2,0))</f>
        <v>4960</v>
      </c>
      <c r="J7" s="249"/>
      <c r="K7" s="250" t="n">
        <v>0</v>
      </c>
      <c r="L7" s="247"/>
      <c r="M7" s="251" t="n">
        <f aca="false">G7-I7+K7</f>
        <v>85040</v>
      </c>
      <c r="N7" s="252"/>
      <c r="O7" s="44"/>
      <c r="P7" s="44"/>
      <c r="Q7" s="105"/>
      <c r="R7" s="243"/>
    </row>
    <row r="8" s="42" customFormat="true" ht="14.65" hidden="false" customHeight="false" outlineLevel="0" collapsed="false">
      <c r="B8" s="253" t="s">
        <v>167</v>
      </c>
      <c r="C8" s="254" t="n">
        <f aca="false">'Set up'!D7</f>
        <v>100</v>
      </c>
      <c r="D8" s="255" t="s">
        <v>168</v>
      </c>
      <c r="F8" s="256" t="s">
        <v>130</v>
      </c>
      <c r="G8" s="236" t="n">
        <f aca="false">IF($G$1=1, VLOOKUP(F8,'Set up'!$A$50:$D$54,3,0),VLOOKUP(F8,'Set up'!$A$50:$O$54,$G$1+2,0))</f>
        <v>0</v>
      </c>
      <c r="H8" s="257"/>
      <c r="I8" s="258" t="n">
        <f aca="false">(($D$17*M$17*$C$5)+($D$18*M$18*$C$5)+($D$19*M$19*$C$5)+($D$20*M$20*$C$5)+($D$21*M$21*$C$5)+($D$22*M$22*$C$5)+($D$23*M$23*$C$5))*(100/VLOOKUP(F8,'Set up'!$A$50:$C$54,2,0))</f>
        <v>0</v>
      </c>
      <c r="J8" s="259"/>
      <c r="K8" s="260" t="n">
        <v>0</v>
      </c>
      <c r="L8" s="257"/>
      <c r="M8" s="241" t="n">
        <f aca="false">G8-I8+K8</f>
        <v>0</v>
      </c>
      <c r="N8" s="261"/>
      <c r="O8" s="44"/>
      <c r="P8" s="44"/>
      <c r="Q8" s="105"/>
      <c r="R8" s="243"/>
      <c r="T8" s="262"/>
    </row>
    <row r="9" s="42" customFormat="true" ht="14.65" hidden="false" customHeight="false" outlineLevel="0" collapsed="false">
      <c r="B9" s="263" t="s">
        <v>169</v>
      </c>
      <c r="C9" s="264" t="n">
        <v>0</v>
      </c>
      <c r="D9" s="265" t="n">
        <f aca="true">IF($G$1&lt;&gt;1,INDIRECT("period"&amp;$G$1-1&amp;"!c9"),0)</f>
        <v>0</v>
      </c>
      <c r="F9" s="245" t="s">
        <v>132</v>
      </c>
      <c r="G9" s="246" t="n">
        <f aca="false">IF($G$1=1, VLOOKUP(F9,'Set up'!$A$50:$D$54,3,0),VLOOKUP(F9,'Set up'!$A$50:$O$54,$G$1+2,0))</f>
        <v>0</v>
      </c>
      <c r="H9" s="247"/>
      <c r="I9" s="248" t="n">
        <f aca="false">(($D$17*O$17*$C$5)+($D$18*O$18*$C$5)+($D$19*O$19*$C$5)+($D$20*O$20*$C$5)+($D$21*O$21*$C$5)+($D$22*O$22*$C$5)+($D$23*O$23*$C$5))*(100/VLOOKUP(F9,'Set up'!$A$50:$C$54,2,0))</f>
        <v>0</v>
      </c>
      <c r="J9" s="249"/>
      <c r="K9" s="250" t="n">
        <v>0</v>
      </c>
      <c r="L9" s="247"/>
      <c r="M9" s="251" t="n">
        <f aca="false">G9-I9+K9</f>
        <v>0</v>
      </c>
      <c r="N9" s="252"/>
      <c r="O9" s="44"/>
      <c r="P9" s="44"/>
      <c r="Q9" s="105"/>
      <c r="R9" s="243"/>
    </row>
    <row r="10" s="42" customFormat="true" ht="14.65" hidden="false" customHeight="false" outlineLevel="0" collapsed="false">
      <c r="B10" s="263" t="s">
        <v>170</v>
      </c>
      <c r="C10" s="266" t="n">
        <v>0</v>
      </c>
      <c r="D10" s="265" t="n">
        <f aca="true">IF($G$1&lt;&gt;1,INDIRECT("period"&amp;$G$1-1&amp;"!c10"),0)</f>
        <v>0</v>
      </c>
      <c r="F10" s="267" t="s">
        <v>133</v>
      </c>
      <c r="G10" s="268" t="n">
        <f aca="false">IF($G$1=1, VLOOKUP(F10,'Set up'!$A$50:$D$54,3,0),VLOOKUP(F10,'Set up'!$A$50:$O$54,$G$1+2,0))</f>
        <v>15000</v>
      </c>
      <c r="H10" s="269"/>
      <c r="I10" s="270" t="n">
        <f aca="false">(($D$17*Q$17*$C$5)+($D$18*Q$18*$C$5)+($D$19*Q$19*$C$5)+($D$20*Q$20*$C$5)+($D$21*Q$21*$C$5)+($D$22*Q$22*$C$5)+($D$23*Q$23*$C$5))*(100/VLOOKUP(F10,'Set up'!$A$50:$C$54,2,0))</f>
        <v>1957.89473684211</v>
      </c>
      <c r="J10" s="271"/>
      <c r="K10" s="272" t="n">
        <v>0</v>
      </c>
      <c r="L10" s="269"/>
      <c r="M10" s="273" t="n">
        <f aca="false">G10-I10+K10</f>
        <v>13042.1052631579</v>
      </c>
      <c r="N10" s="274"/>
      <c r="O10" s="44"/>
      <c r="P10" s="44"/>
      <c r="Q10" s="105"/>
      <c r="R10" s="243"/>
    </row>
    <row r="11" s="42" customFormat="true" ht="14.65" hidden="false" customHeight="false" outlineLevel="0" collapsed="false">
      <c r="B11" s="275" t="s">
        <v>171</v>
      </c>
      <c r="C11" s="276" t="n">
        <f aca="false">C8-C9-C10</f>
        <v>100</v>
      </c>
      <c r="D11" s="265" t="n">
        <f aca="true">IF($G$1&lt;&gt;1,INDIRECT("period"&amp;$G$1-1&amp;"!c11"),0)</f>
        <v>100</v>
      </c>
      <c r="F11" s="42" t="s">
        <v>172</v>
      </c>
    </row>
    <row r="12" s="42" customFormat="true" ht="14.65" hidden="false" customHeight="false" outlineLevel="0" collapsed="false">
      <c r="A12" s="44"/>
      <c r="B12" s="277" t="s">
        <v>173</v>
      </c>
      <c r="C12" s="278" t="n">
        <f aca="false">INDEX('Set up'!D30:O30,1,G1)</f>
        <v>22</v>
      </c>
      <c r="D12" s="279" t="s">
        <v>174</v>
      </c>
      <c r="E12" s="44"/>
      <c r="F12" s="105" t="s">
        <v>175</v>
      </c>
      <c r="G12" s="105"/>
      <c r="H12" s="105"/>
      <c r="I12" s="105"/>
      <c r="J12" s="105"/>
    </row>
    <row r="13" s="42" customFormat="true" ht="14.65" hidden="false" customHeight="false" outlineLevel="0" collapsed="false">
      <c r="B13" s="2"/>
      <c r="C13" s="2"/>
      <c r="D13" s="2"/>
    </row>
    <row r="14" s="42" customFormat="true" ht="14.65" hidden="false" customHeight="false" outlineLevel="0" collapsed="false">
      <c r="B14" s="2"/>
      <c r="C14" s="2"/>
      <c r="D14" s="2"/>
      <c r="F14" s="280"/>
    </row>
    <row r="15" s="42" customFormat="true" ht="57.25" hidden="false" customHeight="true" outlineLevel="0" collapsed="false">
      <c r="B15" s="208" t="s">
        <v>176</v>
      </c>
      <c r="C15" s="281"/>
      <c r="D15" s="282"/>
      <c r="G15" s="283" t="s">
        <v>177</v>
      </c>
      <c r="N15" s="284"/>
      <c r="Y15" s="285"/>
      <c r="Z15" s="285"/>
      <c r="AA15" s="285"/>
      <c r="AB15" s="285"/>
      <c r="AC15" s="285"/>
      <c r="AD15" s="285"/>
    </row>
    <row r="16" customFormat="false" ht="47.7" hidden="false" customHeight="true" outlineLevel="0" collapsed="false">
      <c r="B16" s="286" t="s">
        <v>178</v>
      </c>
      <c r="C16" s="287" t="s">
        <v>179</v>
      </c>
      <c r="D16" s="288" t="s">
        <v>180</v>
      </c>
      <c r="E16" s="289" t="s">
        <v>181</v>
      </c>
      <c r="F16" s="290" t="s">
        <v>182</v>
      </c>
      <c r="G16" s="291" t="s">
        <v>123</v>
      </c>
      <c r="H16" s="292" t="s">
        <v>183</v>
      </c>
      <c r="I16" s="293" t="str">
        <f aca="false">F6</f>
        <v>Meadow Hay</v>
      </c>
      <c r="J16" s="294" t="s">
        <v>183</v>
      </c>
      <c r="K16" s="295" t="str">
        <f aca="false">F7</f>
        <v>Pasture Silage</v>
      </c>
      <c r="L16" s="292" t="s">
        <v>183</v>
      </c>
      <c r="M16" s="293" t="str">
        <f aca="false">F8</f>
        <v>Maize Silage</v>
      </c>
      <c r="N16" s="294" t="s">
        <v>183</v>
      </c>
      <c r="O16" s="295" t="str">
        <f aca="false">F9</f>
        <v>Crop</v>
      </c>
      <c r="P16" s="292" t="s">
        <v>183</v>
      </c>
      <c r="Q16" s="293" t="str">
        <f aca="false">F10</f>
        <v>Meal</v>
      </c>
      <c r="R16" s="294" t="s">
        <v>183</v>
      </c>
      <c r="S16" s="296"/>
    </row>
    <row r="17" customFormat="false" ht="14.65" hidden="false" customHeight="false" outlineLevel="0" collapsed="false">
      <c r="B17" s="297" t="s">
        <v>138</v>
      </c>
      <c r="C17" s="298" t="n">
        <f aca="false">VLOOKUP(B17,'Set up'!$B$62:$O$89,2+$G$1,FALSE())</f>
        <v>60</v>
      </c>
      <c r="D17" s="299" t="n">
        <v>60</v>
      </c>
      <c r="E17" s="300" t="str">
        <f aca="false">TRIM(CLEAN(INDEX('Set up'!$D$63:$O$87,MATCH(B17,'Set up'!$B$62:$B$89,0),+$G$1)))</f>
        <v>12</v>
      </c>
      <c r="F17" s="301" t="n">
        <f aca="false">G17+I17+K17+M17+O17+Q17</f>
        <v>12</v>
      </c>
      <c r="G17" s="302" t="n">
        <v>8</v>
      </c>
      <c r="H17" s="303" t="n">
        <f aca="true">IF($G$1&lt;&gt;1,INDIRECT("period"&amp;$G$1-1&amp;"!G17"),0)</f>
        <v>0</v>
      </c>
      <c r="I17" s="302" t="n">
        <v>1</v>
      </c>
      <c r="J17" s="303" t="n">
        <f aca="true">IF($G$1&lt;&gt;1,INDIRECT("period"&amp;$G$1-1&amp;"!I17"),0)</f>
        <v>0</v>
      </c>
      <c r="K17" s="302" t="n">
        <v>2</v>
      </c>
      <c r="L17" s="303" t="n">
        <f aca="true">IF($G$1&lt;&gt;1,INDIRECT("period"&amp;$G$1-1&amp;"!K17"),0)</f>
        <v>0</v>
      </c>
      <c r="M17" s="302" t="n">
        <v>0</v>
      </c>
      <c r="N17" s="303" t="n">
        <f aca="true">IF($G$1&lt;&gt;1,INDIRECT("period"&amp;$G$1-1&amp;"!M17"),0)</f>
        <v>0</v>
      </c>
      <c r="O17" s="302" t="n">
        <v>0</v>
      </c>
      <c r="P17" s="303" t="n">
        <f aca="true">IF($G$1&lt;&gt;1,INDIRECT("period"&amp;$G$1-1&amp;"!O17"),0)</f>
        <v>0</v>
      </c>
      <c r="Q17" s="304" t="n">
        <v>1</v>
      </c>
      <c r="R17" s="305" t="n">
        <f aca="true">IF($G$1&lt;&gt;1,INDIRECT("period"&amp;$G$1-1&amp;"!Q17"),0)</f>
        <v>0</v>
      </c>
      <c r="S17" s="306"/>
    </row>
    <row r="18" customFormat="false" ht="14.65" hidden="false" customHeight="false" outlineLevel="0" collapsed="false">
      <c r="B18" s="307" t="s">
        <v>142</v>
      </c>
      <c r="C18" s="308" t="n">
        <f aca="false">VLOOKUP(B18,'Set up'!$B$62:$O$89,2+$G$1,FALSE())</f>
        <v>190</v>
      </c>
      <c r="D18" s="309" t="n">
        <v>190</v>
      </c>
      <c r="E18" s="310" t="str">
        <f aca="false">TRIM(CLEAN(INDEX('Set up'!$D$63:$O$87,MATCH(B18,'Set up'!$B$62:$B$89,0),+$G$1)))</f>
        <v>9</v>
      </c>
      <c r="F18" s="311" t="n">
        <f aca="false">G18+I18+K18+M18+O18+Q18</f>
        <v>11</v>
      </c>
      <c r="G18" s="312" t="n">
        <v>9</v>
      </c>
      <c r="H18" s="313" t="n">
        <f aca="true">IF($G$1&lt;&gt;1,INDIRECT("period"&amp;$G$1-1&amp;"!G18"),0)</f>
        <v>9</v>
      </c>
      <c r="I18" s="312" t="n">
        <v>2</v>
      </c>
      <c r="J18" s="313" t="n">
        <f aca="true">IF($G$1&lt;&gt;1,INDIRECT("period"&amp;$G$1-1&amp;"!I18"),0)</f>
        <v>0</v>
      </c>
      <c r="K18" s="312" t="n">
        <v>0</v>
      </c>
      <c r="L18" s="313" t="n">
        <f aca="true">IF($G$1&lt;&gt;1,INDIRECT("period"&amp;$G$1-1&amp;"!K18"),0)</f>
        <v>0</v>
      </c>
      <c r="M18" s="312" t="n">
        <v>0</v>
      </c>
      <c r="N18" s="313" t="n">
        <f aca="true">IF($G$1&lt;&gt;1,INDIRECT("period"&amp;$G$1-1&amp;"!M18"),0)</f>
        <v>0</v>
      </c>
      <c r="O18" s="312" t="n">
        <v>0</v>
      </c>
      <c r="P18" s="313" t="n">
        <f aca="true">IF($G$1&lt;&gt;1,INDIRECT("period"&amp;$G$1-1&amp;"!O18"),0)</f>
        <v>0</v>
      </c>
      <c r="Q18" s="312" t="n">
        <v>0</v>
      </c>
      <c r="R18" s="313" t="n">
        <f aca="true">IF($G$1&lt;&gt;1,INDIRECT("period"&amp;$G$1-1&amp;"!Q18"),0)</f>
        <v>0</v>
      </c>
      <c r="S18" s="306"/>
    </row>
    <row r="19" customFormat="false" ht="14.65" hidden="false" customHeight="false" outlineLevel="0" collapsed="false">
      <c r="B19" s="314" t="s">
        <v>143</v>
      </c>
      <c r="C19" s="308" t="n">
        <f aca="false">VLOOKUP(B19,'Set up'!$B$62:$O$89,2+$G$1,FALSE())</f>
        <v>0</v>
      </c>
      <c r="D19" s="315" t="n">
        <v>0</v>
      </c>
      <c r="E19" s="316" t="str">
        <f aca="false">TRIM(CLEAN(INDEX('Set up'!$D$63:$O$87,MATCH(B19,'Set up'!$B$62:$B$89,0),+$G$1)))</f>
        <v>0</v>
      </c>
      <c r="F19" s="317" t="n">
        <f aca="false">G19+I19+K19+M19+O19+Q19</f>
        <v>0</v>
      </c>
      <c r="G19" s="304" t="n">
        <v>0</v>
      </c>
      <c r="H19" s="305" t="n">
        <f aca="true">IF($G$1&lt;&gt;1,INDIRECT("period"&amp;$G$1-1&amp;"!G19"),0)</f>
        <v>9</v>
      </c>
      <c r="I19" s="304" t="n">
        <v>0</v>
      </c>
      <c r="J19" s="305" t="n">
        <f aca="true">IF($G$1&lt;&gt;1,INDIRECT("period"&amp;$G$1-1&amp;"!I19"),0)</f>
        <v>2</v>
      </c>
      <c r="K19" s="304" t="n">
        <v>0</v>
      </c>
      <c r="L19" s="305" t="n">
        <f aca="true">IF($G$1&lt;&gt;1,INDIRECT("period"&amp;$G$1-1&amp;"!K19"),0)</f>
        <v>0</v>
      </c>
      <c r="M19" s="304" t="n">
        <v>0</v>
      </c>
      <c r="N19" s="305" t="n">
        <f aca="true">IF($G$1&lt;&gt;1,INDIRECT("period"&amp;$G$1-1&amp;"!G19"),0)</f>
        <v>9</v>
      </c>
      <c r="O19" s="304" t="n">
        <v>0</v>
      </c>
      <c r="P19" s="305" t="n">
        <f aca="true">IF($G$1&lt;&gt;1,INDIRECT("period"&amp;$G$1-1&amp;"!O19"),0)</f>
        <v>0</v>
      </c>
      <c r="Q19" s="304" t="n">
        <v>0</v>
      </c>
      <c r="R19" s="305" t="n">
        <f aca="true">IF($G$1&lt;&gt;1,INDIRECT("period"&amp;$G$1-1&amp;"!Q19"),0)</f>
        <v>0</v>
      </c>
      <c r="S19" s="306"/>
    </row>
    <row r="20" customFormat="false" ht="14.65" hidden="false" customHeight="false" outlineLevel="0" collapsed="false">
      <c r="B20" s="307" t="s">
        <v>144</v>
      </c>
      <c r="C20" s="308" t="n">
        <f aca="false">VLOOKUP(B20,'Set up'!$B$62:$O$89,2+$G$1,FALSE())</f>
        <v>50</v>
      </c>
      <c r="D20" s="318" t="n">
        <v>50</v>
      </c>
      <c r="E20" s="310" t="str">
        <f aca="false">TRIM(CLEAN(INDEX('Set up'!$D$63:$O$87,MATCH(B20,'Set up'!$B$62:$B$89,0),+$G$1)))</f>
        <v>7</v>
      </c>
      <c r="F20" s="311" t="n">
        <f aca="false">G20+I20+K20+M20+O20+Q20</f>
        <v>5</v>
      </c>
      <c r="G20" s="312" t="n">
        <v>5</v>
      </c>
      <c r="H20" s="313" t="n">
        <f aca="true">IF($G$1&lt;&gt;1,INDIRECT("period"&amp;$G$1-1&amp;"!G20"),0)</f>
        <v>4</v>
      </c>
      <c r="I20" s="312" t="n">
        <v>0</v>
      </c>
      <c r="J20" s="313" t="n">
        <f aca="true">IF($G$1&lt;&gt;1,INDIRECT("period"&amp;$G$1-1&amp;"!I27"),0)</f>
        <v>0</v>
      </c>
      <c r="K20" s="312" t="n">
        <v>0</v>
      </c>
      <c r="L20" s="313" t="n">
        <f aca="true">IF($G$1&lt;&gt;1,INDIRECT("period"&amp;$G$1-1&amp;"!K20"),0)</f>
        <v>0</v>
      </c>
      <c r="M20" s="312" t="n">
        <v>0</v>
      </c>
      <c r="N20" s="313" t="n">
        <f aca="true">IF($G$1&lt;&gt;1,INDIRECT("period"&amp;$G$1-1&amp;"!M20"),0)</f>
        <v>0</v>
      </c>
      <c r="O20" s="312" t="n">
        <v>0</v>
      </c>
      <c r="P20" s="313" t="n">
        <f aca="true">IF($G$1&lt;&gt;1,INDIRECT("period"&amp;$G$1-1&amp;"!O20"),0)</f>
        <v>0</v>
      </c>
      <c r="Q20" s="312" t="n">
        <v>0</v>
      </c>
      <c r="R20" s="313" t="n">
        <f aca="true">IF($G$1&lt;&gt;1,INDIRECT("period"&amp;$G$1-1&amp;"!Q20"),0)</f>
        <v>0</v>
      </c>
      <c r="S20" s="306"/>
    </row>
    <row r="21" customFormat="false" ht="14.65" hidden="false" customHeight="false" outlineLevel="0" collapsed="false">
      <c r="B21" s="314" t="s">
        <v>145</v>
      </c>
      <c r="C21" s="308" t="n">
        <f aca="false">VLOOKUP(B21,'Set up'!$B$62:$O$89,2+$G$1,FALSE())</f>
        <v>0</v>
      </c>
      <c r="D21" s="315" t="n">
        <v>0</v>
      </c>
      <c r="E21" s="316" t="str">
        <f aca="false">TRIM(CLEAN(INDEX('Set up'!$D$63:$O$87,MATCH(B21,'Set up'!$B$62:$B$89,0),+$G$1)))</f>
        <v>0</v>
      </c>
      <c r="F21" s="317" t="n">
        <f aca="false">G21+I21+K21+M21+O21+Q21</f>
        <v>0</v>
      </c>
      <c r="G21" s="304" t="n">
        <v>0</v>
      </c>
      <c r="H21" s="305" t="n">
        <f aca="true">IF($G$1&lt;&gt;1,INDIRECT("period"&amp;$G$1-1&amp;"!G21"),0)</f>
        <v>3</v>
      </c>
      <c r="I21" s="304" t="n">
        <v>0</v>
      </c>
      <c r="J21" s="305" t="n">
        <f aca="true">IF($G$1&lt;&gt;1,INDIRECT("period"&amp;$G$1-1&amp;"!I21"),0)</f>
        <v>2</v>
      </c>
      <c r="K21" s="304" t="n">
        <v>0</v>
      </c>
      <c r="L21" s="305" t="n">
        <f aca="true">IF($G$1&lt;&gt;1,INDIRECT("period"&amp;$G$1-1&amp;"!K21"),0)</f>
        <v>0</v>
      </c>
      <c r="M21" s="304" t="n">
        <v>0</v>
      </c>
      <c r="N21" s="305" t="n">
        <f aca="true">IF($G$1&lt;&gt;1,INDIRECT("period"&amp;$G$1-1&amp;"!M21"),0)</f>
        <v>0</v>
      </c>
      <c r="O21" s="304" t="n">
        <v>0</v>
      </c>
      <c r="P21" s="305" t="n">
        <f aca="true">IF($G$1&lt;&gt;1,INDIRECT("period"&amp;$G$1-1&amp;"!O21"),0)</f>
        <v>0</v>
      </c>
      <c r="Q21" s="304" t="n">
        <v>0</v>
      </c>
      <c r="R21" s="305" t="n">
        <f aca="true">IF($G$1&lt;&gt;1,INDIRECT("period"&amp;$G$1-1&amp;"!Q21"),0)</f>
        <v>0</v>
      </c>
      <c r="S21" s="319"/>
    </row>
    <row r="22" customFormat="false" ht="14.65" hidden="false" customHeight="false" outlineLevel="0" collapsed="false">
      <c r="B22" s="307" t="s">
        <v>147</v>
      </c>
      <c r="C22" s="308" t="n">
        <f aca="false">VLOOKUP(B22,'Set up'!$B$62:$O$89,2+$G$1,FALSE())</f>
        <v>0</v>
      </c>
      <c r="D22" s="318" t="n">
        <v>0</v>
      </c>
      <c r="E22" s="310" t="str">
        <f aca="false">TRIM(CLEAN(INDEX('Set up'!$D$63:$O$87,MATCH(B22,'Set up'!$B$62:$B$89,0),+$G$1)))</f>
        <v>0</v>
      </c>
      <c r="F22" s="311" t="n">
        <f aca="false">G22+I22+K22+M22+O22+Q22</f>
        <v>0</v>
      </c>
      <c r="G22" s="312" t="n">
        <v>0</v>
      </c>
      <c r="H22" s="313" t="n">
        <f aca="true">IF($G$1&lt;&gt;1,INDIRECT("period"&amp;$G$1-1&amp;"!G22"),0)</f>
        <v>0</v>
      </c>
      <c r="I22" s="312" t="n">
        <v>0</v>
      </c>
      <c r="J22" s="313" t="n">
        <f aca="true">IF($G$1&lt;&gt;1,INDIRECT("period"&amp;$G$1-1&amp;"!i22"),0)</f>
        <v>0</v>
      </c>
      <c r="K22" s="312" t="n">
        <v>0</v>
      </c>
      <c r="L22" s="313" t="n">
        <f aca="true">IF($G$1&lt;&gt;1,INDIRECT("period"&amp;$G$1-1&amp;"!G22"),0)</f>
        <v>0</v>
      </c>
      <c r="M22" s="312" t="n">
        <v>0</v>
      </c>
      <c r="N22" s="313" t="n">
        <f aca="true">IF($G$1&lt;&gt;1,INDIRECT("period"&amp;$G$1-1&amp;"!M22"),0)</f>
        <v>0</v>
      </c>
      <c r="O22" s="312" t="n">
        <v>0</v>
      </c>
      <c r="P22" s="313" t="n">
        <f aca="true">IF($G$1&lt;&gt;1,INDIRECT("period"&amp;$G$1-1&amp;"!O22"),0)</f>
        <v>0</v>
      </c>
      <c r="Q22" s="312" t="n">
        <v>0</v>
      </c>
      <c r="R22" s="313" t="n">
        <f aca="true">IF($G$1&lt;&gt;1,INDIRECT("period"&amp;$G$1-1&amp;"!Q22"),0)</f>
        <v>0</v>
      </c>
      <c r="S22" s="306"/>
    </row>
    <row r="23" customFormat="false" ht="14.65" hidden="false" customHeight="false" outlineLevel="0" collapsed="false">
      <c r="B23" s="320" t="s">
        <v>146</v>
      </c>
      <c r="C23" s="321" t="n">
        <f aca="false">VLOOKUP(B23,'Set up'!$B$62:$O$89,2+$G$1,FALSE())</f>
        <v>0</v>
      </c>
      <c r="D23" s="322" t="n">
        <v>0</v>
      </c>
      <c r="E23" s="323" t="str">
        <f aca="false">TRIM(CLEAN(INDEX('Set up'!$D$63:$O$87,MATCH(B23,'Set up'!$B$62:$B$89,0),+$G$1)))</f>
        <v>0</v>
      </c>
      <c r="F23" s="324" t="n">
        <f aca="false">G23+I23+K23+M23+O23+Q23</f>
        <v>0</v>
      </c>
      <c r="G23" s="325" t="n">
        <v>0</v>
      </c>
      <c r="H23" s="326" t="n">
        <f aca="true">IF($G$1&lt;&gt;1,INDIRECT("period"&amp;$G$1-1&amp;"!G23"),0)</f>
        <v>0</v>
      </c>
      <c r="I23" s="325" t="n">
        <v>0</v>
      </c>
      <c r="J23" s="326" t="n">
        <f aca="true">IF($G$1&lt;&gt;1,INDIRECT("period"&amp;$G$1-1&amp;"!I23"),0)</f>
        <v>0</v>
      </c>
      <c r="K23" s="325" t="n">
        <v>0</v>
      </c>
      <c r="L23" s="326" t="n">
        <f aca="true">IF($G$1&lt;&gt;1,INDIRECT("period"&amp;$G$1-1&amp;"!K23"),0)</f>
        <v>0</v>
      </c>
      <c r="M23" s="325" t="n">
        <v>0</v>
      </c>
      <c r="N23" s="326" t="n">
        <f aca="true">IF($G$1&lt;&gt;1,INDIRECT("period"&amp;$G$1-1&amp;"!M23"),0)</f>
        <v>0</v>
      </c>
      <c r="O23" s="325" t="n">
        <v>0</v>
      </c>
      <c r="P23" s="326" t="n">
        <f aca="true">IF($G$1&lt;&gt;1,INDIRECT("period"&amp;$G$1-1&amp;"!G23"),0)</f>
        <v>0</v>
      </c>
      <c r="Q23" s="325" t="n">
        <v>0</v>
      </c>
      <c r="R23" s="326" t="n">
        <f aca="true">IF($G$1&lt;&gt;1,INDIRECT("period"&amp;$G$1-1&amp;"!Q23"),0)</f>
        <v>0</v>
      </c>
      <c r="S23" s="306"/>
    </row>
    <row r="24" customFormat="false" ht="14.65" hidden="false" customHeight="false" outlineLevel="0" collapsed="false">
      <c r="B24" s="327" t="s">
        <v>184</v>
      </c>
      <c r="C24" s="328" t="n">
        <f aca="false">SUM(C17:C23)</f>
        <v>300</v>
      </c>
      <c r="D24" s="329" t="n">
        <f aca="false">SUM(D17:D23)</f>
        <v>300</v>
      </c>
      <c r="E24" s="330"/>
      <c r="F24" s="330"/>
      <c r="S24" s="331"/>
    </row>
    <row r="25" customFormat="false" ht="14.65" hidden="false" customHeight="false" outlineLevel="0" collapsed="false">
      <c r="B25" s="332"/>
      <c r="C25" s="333"/>
      <c r="D25" s="334"/>
      <c r="E25" s="330"/>
      <c r="F25" s="330"/>
      <c r="H25" s="335"/>
      <c r="I25" s="336"/>
      <c r="J25" s="337" t="s">
        <v>185</v>
      </c>
      <c r="K25" s="336"/>
      <c r="L25" s="336"/>
      <c r="M25" s="338"/>
      <c r="S25" s="331"/>
    </row>
    <row r="26" s="42" customFormat="true" ht="14.65" hidden="false" customHeight="false" outlineLevel="0" collapsed="false">
      <c r="H26" s="339"/>
      <c r="I26" s="340"/>
      <c r="J26" s="341" t="s">
        <v>186</v>
      </c>
      <c r="K26" s="342" t="n">
        <f aca="false">G46</f>
        <v>2237.22105263158</v>
      </c>
      <c r="L26" s="343" t="s">
        <v>174</v>
      </c>
      <c r="M26" s="344"/>
    </row>
    <row r="27" s="42" customFormat="true" ht="14.65" hidden="false" customHeight="false" outlineLevel="0" collapsed="false">
      <c r="H27" s="136"/>
      <c r="I27" s="346"/>
      <c r="J27" s="347" t="s">
        <v>187</v>
      </c>
      <c r="K27" s="348" t="str">
        <f aca="false">"("&amp;G47</f>
        <v>(2500</v>
      </c>
      <c r="L27" s="349" t="s">
        <v>188</v>
      </c>
      <c r="M27" s="350"/>
    </row>
    <row r="28" s="42" customFormat="true" ht="27.25" hidden="false" customHeight="false" outlineLevel="0" collapsed="false">
      <c r="B28" s="208" t="s">
        <v>189</v>
      </c>
      <c r="G28" s="351"/>
      <c r="H28" s="351"/>
      <c r="I28" s="352"/>
      <c r="J28" s="352"/>
      <c r="K28" s="353" t="s">
        <v>190</v>
      </c>
      <c r="L28" s="353"/>
      <c r="M28" s="352"/>
      <c r="N28" s="352"/>
      <c r="O28" s="352"/>
      <c r="P28" s="352"/>
      <c r="Q28" s="354"/>
      <c r="R28" s="354"/>
    </row>
    <row r="29" s="42" customFormat="true" ht="14.65" hidden="false" customHeight="false" outlineLevel="0" collapsed="false">
      <c r="B29" s="42" t="s">
        <v>191</v>
      </c>
      <c r="G29" s="355"/>
      <c r="H29" s="355"/>
      <c r="I29" s="356"/>
      <c r="J29" s="356"/>
      <c r="K29" s="357"/>
      <c r="L29" s="357"/>
      <c r="M29" s="356"/>
      <c r="N29" s="356"/>
      <c r="O29" s="356"/>
      <c r="P29" s="356"/>
      <c r="Q29" s="358"/>
      <c r="R29" s="358"/>
      <c r="T29" s="359"/>
    </row>
    <row r="30" s="42" customFormat="true" ht="23.85" hidden="false" customHeight="false" outlineLevel="0" collapsed="false">
      <c r="G30" s="360" t="s">
        <v>123</v>
      </c>
      <c r="H30" s="361"/>
      <c r="I30" s="362" t="str">
        <f aca="false">I16</f>
        <v>Meadow Hay</v>
      </c>
      <c r="J30" s="363"/>
      <c r="K30" s="364" t="str">
        <f aca="false">K16</f>
        <v>Pasture Silage</v>
      </c>
      <c r="L30" s="365"/>
      <c r="M30" s="362" t="str">
        <f aca="false">M16</f>
        <v>Maize Silage</v>
      </c>
      <c r="N30" s="363"/>
      <c r="O30" s="366" t="str">
        <f aca="false">O16</f>
        <v>Crop</v>
      </c>
      <c r="P30" s="365"/>
      <c r="Q30" s="362" t="str">
        <f aca="false">Q16</f>
        <v>Meal</v>
      </c>
      <c r="R30" s="363"/>
    </row>
    <row r="31" s="42" customFormat="true" ht="14.65" hidden="false" customHeight="false" outlineLevel="0" collapsed="false">
      <c r="E31" s="367" t="str">
        <f aca="false">B17</f>
        <v>Milking Cows Herd A</v>
      </c>
      <c r="F31" s="368"/>
      <c r="G31" s="369" t="n">
        <f aca="false">G17*(1/INDEX('Set up'!$D$45:$O$45,1,$G$1))</f>
        <v>10.6666666666667</v>
      </c>
      <c r="H31" s="370"/>
      <c r="I31" s="371" t="n">
        <f aca="false">I17*100/((VLOOKUP(I$16,'Set up'!$A$50:$B$54,2,0)))</f>
        <v>1.17647058823529</v>
      </c>
      <c r="J31" s="371"/>
      <c r="K31" s="369" t="n">
        <f aca="false">K17*100/((VLOOKUP(K$16,'Set up'!$A$50:$B$54,2,0)))</f>
        <v>2.66666666666667</v>
      </c>
      <c r="L31" s="370"/>
      <c r="M31" s="369" t="n">
        <f aca="false">M17*100/((VLOOKUP(M$16,'Set up'!$A$50:$B$54,2,0)))</f>
        <v>0</v>
      </c>
      <c r="N31" s="370"/>
      <c r="O31" s="369" t="n">
        <f aca="false">O17*100/((VLOOKUP(O$16,'Set up'!$A$50:$B$54,2,0)))</f>
        <v>0</v>
      </c>
      <c r="P31" s="370"/>
      <c r="Q31" s="369" t="n">
        <f aca="false">Q17*100/((VLOOKUP(Q$16,'Set up'!$A$50:$B$54,2,0)))</f>
        <v>1.05263157894737</v>
      </c>
      <c r="R31" s="370"/>
    </row>
    <row r="32" s="42" customFormat="true" ht="14.65" hidden="false" customHeight="false" outlineLevel="0" collapsed="false">
      <c r="E32" s="372" t="str">
        <f aca="false">B18</f>
        <v>Dry Fats</v>
      </c>
      <c r="F32" s="373"/>
      <c r="G32" s="374" t="n">
        <f aca="false">G18*(1/INDEX('Set up'!$D$45:$O$45,1,$G$1))</f>
        <v>12</v>
      </c>
      <c r="H32" s="375"/>
      <c r="I32" s="376" t="n">
        <f aca="false">I18*100/((VLOOKUP(I$16,'Set up'!$A$50:$B$54,2,0)))</f>
        <v>2.35294117647059</v>
      </c>
      <c r="J32" s="376"/>
      <c r="K32" s="377" t="n">
        <f aca="false">K18*100/((VLOOKUP(K$16,'Set up'!$A$50:$B$54,2,0)))</f>
        <v>0</v>
      </c>
      <c r="L32" s="378"/>
      <c r="M32" s="377" t="n">
        <f aca="false">M18*100/((VLOOKUP(M$16,'Set up'!$A$50:$B$54,2,0)))</f>
        <v>0</v>
      </c>
      <c r="N32" s="378"/>
      <c r="O32" s="377" t="n">
        <f aca="false">O18*100/((VLOOKUP(O$16,'Set up'!$A$50:$B$54,2,0)))</f>
        <v>0</v>
      </c>
      <c r="P32" s="378"/>
      <c r="Q32" s="377" t="n">
        <f aca="false">Q18*100/((VLOOKUP(Q$16,'Set up'!$A$50:$B$54,2,0)))</f>
        <v>0</v>
      </c>
      <c r="R32" s="378"/>
    </row>
    <row r="33" s="42" customFormat="true" ht="14.65" hidden="false" customHeight="false" outlineLevel="0" collapsed="false">
      <c r="E33" s="379" t="str">
        <f aca="false">B19</f>
        <v>Dry thins</v>
      </c>
      <c r="F33" s="380"/>
      <c r="G33" s="369" t="n">
        <f aca="false">G19*(1/INDEX('Set up'!$D$45:$O$45,1,$G$1))</f>
        <v>0</v>
      </c>
      <c r="H33" s="370"/>
      <c r="I33" s="371" t="n">
        <f aca="false">I19*100/((VLOOKUP(I$16,'Set up'!$A$50:$B$54,2,0)))</f>
        <v>0</v>
      </c>
      <c r="J33" s="371"/>
      <c r="K33" s="369" t="n">
        <f aca="false">K19*100/((VLOOKUP(K$16,'Set up'!$A$50:$B$54,2,0)))</f>
        <v>0</v>
      </c>
      <c r="L33" s="370"/>
      <c r="M33" s="369" t="n">
        <f aca="false">M19*100/((VLOOKUP(M$16,'Set up'!$A$50:$B$54,2,0)))</f>
        <v>0</v>
      </c>
      <c r="N33" s="370"/>
      <c r="O33" s="369" t="n">
        <f aca="false">O19*100/((VLOOKUP(O$16,'Set up'!$A$50:$B$54,2,0)))</f>
        <v>0</v>
      </c>
      <c r="P33" s="370"/>
      <c r="Q33" s="369" t="n">
        <f aca="false">Q19*100/((VLOOKUP(Q$16,'Set up'!$A$50:$B$54,2,0)))</f>
        <v>0</v>
      </c>
      <c r="R33" s="370"/>
    </row>
    <row r="34" s="42" customFormat="true" ht="14.65" hidden="false" customHeight="false" outlineLevel="0" collapsed="false">
      <c r="E34" s="372" t="str">
        <f aca="false">B20</f>
        <v>R 2yr heifers</v>
      </c>
      <c r="F34" s="373"/>
      <c r="G34" s="374" t="n">
        <f aca="false">G20*(1/INDEX('Set up'!$D$45:$O$45,1,$G$1))</f>
        <v>6.66666666666667</v>
      </c>
      <c r="H34" s="375"/>
      <c r="I34" s="381" t="n">
        <f aca="false">I20*100/((VLOOKUP(I$16,'Set up'!$A$50:$B$54,2,0)))</f>
        <v>0</v>
      </c>
      <c r="J34" s="381"/>
      <c r="K34" s="382" t="n">
        <f aca="false">K20*100/((VLOOKUP(K$16,'Set up'!$A$50:$B$54,2,0)))</f>
        <v>0</v>
      </c>
      <c r="L34" s="383"/>
      <c r="M34" s="382" t="n">
        <f aca="false">M20*100/((VLOOKUP(M$16,'Set up'!$A$50:$B$54,2,0)))</f>
        <v>0</v>
      </c>
      <c r="N34" s="383"/>
      <c r="O34" s="382" t="n">
        <f aca="false">O20*100/((VLOOKUP(O$16,'Set up'!$A$50:$B$54,2,0)))</f>
        <v>0</v>
      </c>
      <c r="P34" s="383"/>
      <c r="Q34" s="382" t="n">
        <f aca="false">Q20*100/((VLOOKUP(Q$16,'Set up'!$A$50:$B$54,2,0)))</f>
        <v>0</v>
      </c>
      <c r="R34" s="383"/>
    </row>
    <row r="35" s="42" customFormat="true" ht="14.65" hidden="false" customHeight="false" outlineLevel="0" collapsed="false">
      <c r="E35" s="367" t="str">
        <f aca="false">B21</f>
        <v>Heifer Calves</v>
      </c>
      <c r="F35" s="368"/>
      <c r="G35" s="369" t="n">
        <f aca="false">G21*(1/INDEX('Set up'!$D$45:$O$45,1,$G$1))</f>
        <v>0</v>
      </c>
      <c r="H35" s="370"/>
      <c r="I35" s="371" t="n">
        <f aca="false">I21*100/((VLOOKUP(I$16,'Set up'!$A$50:$B$54,2,0)))</f>
        <v>0</v>
      </c>
      <c r="J35" s="371"/>
      <c r="K35" s="369" t="n">
        <f aca="false">K21*100/((VLOOKUP(K$16,'Set up'!$A$50:$B$54,2,0)))</f>
        <v>0</v>
      </c>
      <c r="L35" s="370"/>
      <c r="M35" s="369" t="n">
        <f aca="false">M21*100/((VLOOKUP(M$16,'Set up'!$A$50:$B$54,2,0)))</f>
        <v>0</v>
      </c>
      <c r="N35" s="370"/>
      <c r="O35" s="369" t="n">
        <f aca="false">O21*100/((VLOOKUP(O$16,'Set up'!$A$50:$B$54,2,0)))</f>
        <v>0</v>
      </c>
      <c r="P35" s="370"/>
      <c r="Q35" s="369" t="n">
        <f aca="false">Q21*100/((VLOOKUP(Q$16,'Set up'!$A$50:$B$54,2,0)))</f>
        <v>0</v>
      </c>
      <c r="R35" s="370"/>
    </row>
    <row r="36" s="42" customFormat="true" ht="14.65" hidden="false" customHeight="false" outlineLevel="0" collapsed="false">
      <c r="E36" s="372" t="str">
        <f aca="false">B22</f>
        <v>Bulls</v>
      </c>
      <c r="F36" s="373"/>
      <c r="G36" s="374" t="n">
        <f aca="false">G22*(1/INDEX('Set up'!$D$45:$O$45,1,$G$1))</f>
        <v>0</v>
      </c>
      <c r="H36" s="375"/>
      <c r="I36" s="381" t="n">
        <f aca="false">I22*100/((VLOOKUP(I$16,'Set up'!$A$50:$B$54,2,0)))</f>
        <v>0</v>
      </c>
      <c r="J36" s="381"/>
      <c r="K36" s="382" t="n">
        <f aca="false">K22*100/((VLOOKUP(K$16,'Set up'!$A$50:$B$54,2,0)))</f>
        <v>0</v>
      </c>
      <c r="L36" s="383"/>
      <c r="M36" s="382" t="n">
        <f aca="false">M22*100/((VLOOKUP(M$16,'Set up'!$A$50:$B$54,2,0)))</f>
        <v>0</v>
      </c>
      <c r="N36" s="383"/>
      <c r="O36" s="382" t="n">
        <f aca="false">O22*100/((VLOOKUP(O$16,'Set up'!$A$50:$B$54,2,0)))</f>
        <v>0</v>
      </c>
      <c r="P36" s="383"/>
      <c r="Q36" s="382" t="n">
        <f aca="false">Q22*100/((VLOOKUP(Q$16,'Set up'!$A$50:$B$54,2,0)))</f>
        <v>0</v>
      </c>
      <c r="R36" s="383"/>
    </row>
    <row r="37" s="42" customFormat="true" ht="14.65" hidden="false" customHeight="false" outlineLevel="0" collapsed="false">
      <c r="E37" s="379" t="str">
        <f aca="false">B23</f>
        <v>Bull Calves</v>
      </c>
      <c r="F37" s="380"/>
      <c r="G37" s="369" t="n">
        <f aca="false">G23*(1/INDEX('Set up'!$D$45:$O$45,1,$G$1))</f>
        <v>0</v>
      </c>
      <c r="H37" s="370"/>
      <c r="I37" s="371" t="n">
        <f aca="false">I23*100/((VLOOKUP(I$16,'Set up'!$A$50:$B$54,2,0)))</f>
        <v>0</v>
      </c>
      <c r="J37" s="371"/>
      <c r="K37" s="369" t="n">
        <f aca="false">K23*100/((VLOOKUP(K$16,'Set up'!$A$50:$B$54,2,0)))</f>
        <v>0</v>
      </c>
      <c r="L37" s="370"/>
      <c r="M37" s="369" t="n">
        <f aca="false">M23*100/((VLOOKUP(M$16,'Set up'!$A$50:$B$54,2,0)))</f>
        <v>0</v>
      </c>
      <c r="N37" s="370"/>
      <c r="O37" s="369" t="n">
        <f aca="false">O23*100/((VLOOKUP(O$16,'Set up'!$A$50:$B$54,2,0)))</f>
        <v>0</v>
      </c>
      <c r="P37" s="370"/>
      <c r="Q37" s="369" t="n">
        <f aca="false">Q23*100/((VLOOKUP(Q$16,'Set up'!$A$50:$B$54,2,0)))</f>
        <v>0</v>
      </c>
      <c r="R37" s="370"/>
    </row>
    <row r="38" s="105" customFormat="true" ht="14.95" hidden="false" customHeight="false" outlineLevel="0" collapsed="false">
      <c r="B38" s="384"/>
      <c r="C38" s="385"/>
      <c r="D38" s="386"/>
      <c r="E38" s="386"/>
      <c r="F38" s="387" t="s">
        <v>192</v>
      </c>
      <c r="G38" s="388" t="n">
        <f aca="false">(($G17*$D17)+($G18*$D18)+($G19*$D19)+($G20*$D20)+($G21*$D21)+($G22*$D22)+($G23*$D23))*(1/INDEX('Set up'!$D45:$O45,1,$G$1))</f>
        <v>3253.33333333333</v>
      </c>
      <c r="H38" s="388"/>
      <c r="I38" s="389" t="n">
        <f aca="false">((I17*$D17)+(I18*$D18)+(I19*$D19)+(I20*$D20)+(I21*$D21)+(I22*$D22)+(I23*$D23))*(100/VLOOKUP($F6,'Set up'!$A$50:$C$54,2,0))</f>
        <v>517.647058823529</v>
      </c>
      <c r="J38" s="390"/>
      <c r="K38" s="389" t="n">
        <f aca="false">((K17*$D17)+(K18*$D18)+(K19*$D19)+(K20*$D20)+(K21*$D21)+(K22*$D22)+(K23*$D23))*(100/VLOOKUP($F7,'Set up'!$A$50:$C$54,2,0))</f>
        <v>160</v>
      </c>
      <c r="L38" s="390"/>
      <c r="M38" s="389" t="n">
        <f aca="false">((M17*$D17)+(M18*$D18)+(M19*$D19)+(M20*$D20)+(M21*$D21)+(M22*$D22)+(M23*$D23))*(100/VLOOKUP($F8,'Set up'!$A$50:$C$54,2,0))</f>
        <v>0</v>
      </c>
      <c r="N38" s="390"/>
      <c r="O38" s="389" t="n">
        <f aca="false">((O17*$D17)+(O18*$D18)+(O19*$D19)+(O20*$D20)+(O21*$D21)+(O22*$D22)+(O23*$D23))*(100/VLOOKUP($F9,'Set up'!$A$50:$C$54,2,0))</f>
        <v>0</v>
      </c>
      <c r="P38" s="390"/>
      <c r="Q38" s="389" t="n">
        <f aca="false">((Q17*$D17)+(Q18*$D18)+(Q19*$D19)+(Q20*$D20)+(Q21*$D21)+(Q22*$D22)+(Q23*$D23))*(100/VLOOKUP($F10,'Set up'!$A$50:$C$54,2,0))</f>
        <v>63.1578947368421</v>
      </c>
      <c r="R38" s="390"/>
      <c r="S38" s="331"/>
    </row>
    <row r="39" s="42" customFormat="true" ht="14.95" hidden="false" customHeight="false" outlineLevel="0" collapsed="false">
      <c r="B39" s="391"/>
      <c r="C39" s="392"/>
      <c r="D39" s="392"/>
      <c r="E39" s="392"/>
      <c r="F39" s="393" t="s">
        <v>193</v>
      </c>
      <c r="G39" s="394" t="n">
        <f aca="false">G38*$C$5</f>
        <v>100853.333333333</v>
      </c>
      <c r="H39" s="394"/>
      <c r="I39" s="395" t="n">
        <f aca="false">I38*$C$5</f>
        <v>16047.0588235294</v>
      </c>
      <c r="J39" s="396"/>
      <c r="K39" s="395" t="n">
        <f aca="false">K38*$C$5</f>
        <v>4960</v>
      </c>
      <c r="L39" s="396"/>
      <c r="M39" s="395" t="n">
        <f aca="false">M38*$C$5</f>
        <v>0</v>
      </c>
      <c r="N39" s="396"/>
      <c r="O39" s="395" t="n">
        <f aca="false">O38*$C$5</f>
        <v>0</v>
      </c>
      <c r="P39" s="396"/>
      <c r="Q39" s="395" t="n">
        <f aca="false">Q38*$C$5</f>
        <v>1957.89473684211</v>
      </c>
      <c r="R39" s="396"/>
    </row>
    <row r="40" s="42" customFormat="true" ht="14.95" hidden="false" customHeight="false" outlineLevel="0" collapsed="false">
      <c r="B40" s="42" t="s">
        <v>194</v>
      </c>
    </row>
    <row r="41" s="42" customFormat="true" ht="14.75" hidden="false" customHeight="true" outlineLevel="0" collapsed="false"/>
    <row r="42" customFormat="false" ht="14.75" hidden="false" customHeight="true" outlineLevel="0" collapsed="false">
      <c r="Q42" s="52"/>
      <c r="R42" s="52"/>
      <c r="S42" s="44"/>
    </row>
    <row r="43" s="42" customFormat="true" ht="32" hidden="false" customHeight="true" outlineLevel="0" collapsed="false">
      <c r="B43" s="208" t="s">
        <v>195</v>
      </c>
    </row>
    <row r="44" s="42" customFormat="true" ht="32" hidden="false" customHeight="true" outlineLevel="0" collapsed="false">
      <c r="B44" s="208"/>
    </row>
    <row r="45" s="42" customFormat="true" ht="14.65" hidden="false" customHeight="false" outlineLevel="0" collapsed="false">
      <c r="B45" s="44"/>
      <c r="C45" s="237"/>
      <c r="D45" s="397"/>
      <c r="E45" s="397"/>
      <c r="F45" s="398" t="s">
        <v>196</v>
      </c>
      <c r="G45" s="399" t="n">
        <f aca="true">IF(G1=1,'Set up'!$D$35,INDIRECT("period"&amp;$G$1-1&amp;"!G46"))</f>
        <v>2563.75438596491</v>
      </c>
      <c r="H45" s="400" t="s">
        <v>197</v>
      </c>
      <c r="I45" s="401"/>
      <c r="J45" s="402"/>
      <c r="K45" s="213" t="str">
        <f aca="false">IF(G1=1,"*NB: For Period1, enter the opening  Av Farm Cover in cell D37 in 'Set up'","NB: Opening av farm cover is the previous period's forecasted closing av farm cover")</f>
        <v>NB: Opening av farm cover is the previous period's forecasted closing av farm cover</v>
      </c>
      <c r="P45" s="44"/>
      <c r="V45" s="345"/>
      <c r="W45" s="2"/>
    </row>
    <row r="46" s="42" customFormat="true" ht="14.65" hidden="false" customHeight="false" outlineLevel="0" collapsed="false">
      <c r="B46" s="44"/>
      <c r="C46" s="403"/>
      <c r="D46" s="404"/>
      <c r="E46" s="404"/>
      <c r="F46" s="405" t="s">
        <v>198</v>
      </c>
      <c r="G46" s="406" t="n">
        <f aca="false">($G$45+ ($C$5*$C$12) -(G39/C11))</f>
        <v>2237.22105263158</v>
      </c>
      <c r="H46" s="407" t="s">
        <v>197</v>
      </c>
      <c r="I46" s="408"/>
      <c r="J46" s="409"/>
      <c r="K46" s="410"/>
      <c r="P46" s="44"/>
    </row>
    <row r="47" s="42" customFormat="true" ht="14.65" hidden="false" customHeight="false" outlineLevel="0" collapsed="false">
      <c r="B47" s="44"/>
      <c r="C47" s="411"/>
      <c r="D47" s="412"/>
      <c r="E47" s="412"/>
      <c r="F47" s="413" t="s">
        <v>199</v>
      </c>
      <c r="G47" s="429" t="n">
        <f aca="false">INDEX('Set up'!$D37:$O37,1,G1)</f>
        <v>2500</v>
      </c>
      <c r="H47" s="415" t="s">
        <v>197</v>
      </c>
      <c r="I47" s="416"/>
      <c r="J47" s="417"/>
      <c r="K47" s="410"/>
      <c r="P47" s="331"/>
      <c r="V47" s="345"/>
    </row>
    <row r="48" s="42" customFormat="true" ht="14.65" hidden="false" customHeight="false" outlineLevel="0" collapsed="false">
      <c r="B48" s="44"/>
      <c r="C48" s="247"/>
      <c r="D48" s="418"/>
      <c r="E48" s="418"/>
      <c r="F48" s="419" t="s">
        <v>200</v>
      </c>
      <c r="G48" s="420" t="n">
        <f aca="false">G46-G47</f>
        <v>-262.778947368418</v>
      </c>
      <c r="H48" s="407" t="s">
        <v>197</v>
      </c>
      <c r="I48" s="408"/>
      <c r="J48" s="421"/>
      <c r="K48" s="422" t="s">
        <v>201</v>
      </c>
      <c r="P48" s="331"/>
    </row>
    <row r="49" s="42" customFormat="true" ht="14.65" hidden="false" customHeight="false" outlineLevel="0" collapsed="false">
      <c r="B49" s="44"/>
      <c r="C49" s="269"/>
      <c r="D49" s="423"/>
      <c r="E49" s="423"/>
      <c r="F49" s="424" t="s">
        <v>202</v>
      </c>
      <c r="G49" s="425" t="n">
        <f aca="false">G48*C11</f>
        <v>-26277.8947368418</v>
      </c>
      <c r="H49" s="426" t="str">
        <f aca="false">"kg DM total over  nett "&amp;C11&amp;" ha"</f>
        <v>kg DM total over  nett 100 ha</v>
      </c>
      <c r="I49" s="427"/>
      <c r="J49" s="428"/>
      <c r="K49" s="410"/>
      <c r="P49" s="331"/>
      <c r="Q49" s="42" t="str">
        <f aca="false">CONCATENATE(Q43,S43)</f>
        <v/>
      </c>
    </row>
  </sheetData>
  <sheetProtection sheet="true" objects="true" scenarios="true" selectLockedCells="true"/>
  <mergeCells count="1">
    <mergeCell ref="Y15:AD15"/>
  </mergeCells>
  <dataValidations count="4">
    <dataValidation allowBlank="false" operator="equal" showDropDown="false" showErrorMessage="false" showInputMessage="false" sqref="F6 F8:F10" type="list">
      <formula1>'Set up'!$A$50:$A$54</formula1>
      <formula2>0</formula2>
    </dataValidation>
    <dataValidation allowBlank="false" operator="equal" showDropDown="false" showErrorMessage="false" showInputMessage="false" sqref="F7" type="list">
      <formula1>'Set up'!$A$50:$A$54</formula1>
      <formula2>0</formula2>
    </dataValidation>
    <dataValidation allowBlank="true" operator="equal" showDropDown="false" showErrorMessage="false" showInputMessage="false" sqref="B17" type="list">
      <formula1>'Set up'!$B$62:$B$90</formula1>
      <formula2>0</formula2>
    </dataValidation>
    <dataValidation allowBlank="true" operator="equal" showDropDown="false" showErrorMessage="false" showInputMessage="false" sqref="B18:B23" type="list">
      <formula1>'Set up'!$B$62:$B$89</formula1>
      <formula2>0</formula2>
    </dataValidation>
  </dataValidation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&amp;C&amp;"Arial,Regular"&amp;A</oddHeader>
    <oddFooter>&amp;C&amp;"Arial,Regular"Page &amp;P</oddFooter>
  </headerFooter>
  <drawing r:id="rId2"/>
  <legacyDrawing r:id="rId3"/>
</worksheet>
</file>

<file path=xl/worksheets/sheet8.xml><?xml version="1.0" encoding="utf-8"?>
<worksheet xmlns="http://schemas.openxmlformats.org/spreadsheetml/2006/main" xmlns:r="http://schemas.openxmlformats.org/officeDocument/2006/relationships">
  <sheetPr filterMode="false">
    <pageSetUpPr fitToPage="false"/>
  </sheetPr>
  <dimension ref="A1:AD49"/>
  <sheetViews>
    <sheetView showFormulas="false" showGridLines="false" showRowColHeaders="true" showZeros="true" rightToLeft="false" tabSelected="false" showOutlineSymbols="true" defaultGridColor="true" view="normal" topLeftCell="A1" colorId="64" zoomScale="110" zoomScaleNormal="110" zoomScalePageLayoutView="100" workbookViewId="0">
      <selection pane="topLeft" activeCell="B2" activeCellId="0" sqref="B2"/>
    </sheetView>
  </sheetViews>
  <sheetFormatPr defaultRowHeight="14.65" zeroHeight="false" outlineLevelRow="0" outlineLevelCol="0"/>
  <cols>
    <col collapsed="false" customWidth="true" hidden="false" outlineLevel="0" max="1" min="1" style="42" width="4.08"/>
    <col collapsed="false" customWidth="true" hidden="false" outlineLevel="0" max="2" min="2" style="42" width="30.91"/>
    <col collapsed="false" customWidth="true" hidden="false" outlineLevel="0" max="3" min="3" style="42" width="9.88"/>
    <col collapsed="false" customWidth="true" hidden="false" outlineLevel="0" max="4" min="4" style="42" width="10.51"/>
    <col collapsed="false" customWidth="true" hidden="false" outlineLevel="0" max="5" min="5" style="42" width="12.08"/>
    <col collapsed="false" customWidth="true" hidden="false" outlineLevel="0" max="6" min="6" style="42" width="11.76"/>
    <col collapsed="false" customWidth="true" hidden="false" outlineLevel="0" max="7" min="7" style="42" width="10.2"/>
    <col collapsed="false" customWidth="true" hidden="false" outlineLevel="0" max="8" min="8" style="42" width="5.1"/>
    <col collapsed="false" customWidth="true" hidden="false" outlineLevel="0" max="9" min="9" style="42" width="10.2"/>
    <col collapsed="false" customWidth="true" hidden="false" outlineLevel="0" max="10" min="10" style="42" width="5.1"/>
    <col collapsed="false" customWidth="true" hidden="false" outlineLevel="0" max="11" min="11" style="42" width="10.2"/>
    <col collapsed="false" customWidth="true" hidden="false" outlineLevel="0" max="12" min="12" style="42" width="5.1"/>
    <col collapsed="false" customWidth="true" hidden="false" outlineLevel="0" max="13" min="13" style="42" width="10.2"/>
    <col collapsed="false" customWidth="true" hidden="false" outlineLevel="0" max="14" min="14" style="42" width="5.1"/>
    <col collapsed="false" customWidth="true" hidden="false" outlineLevel="0" max="15" min="15" style="42" width="10.2"/>
    <col collapsed="false" customWidth="true" hidden="false" outlineLevel="0" max="16" min="16" style="42" width="5.1"/>
    <col collapsed="false" customWidth="true" hidden="false" outlineLevel="0" max="17" min="17" style="42" width="10.2"/>
    <col collapsed="false" customWidth="true" hidden="false" outlineLevel="0" max="18" min="18" style="42" width="5.1"/>
    <col collapsed="false" customWidth="true" hidden="false" outlineLevel="0" max="19" min="19" style="105" width="4.08"/>
    <col collapsed="false" customWidth="true" hidden="false" outlineLevel="0" max="1025" min="20" style="42" width="13.38"/>
  </cols>
  <sheetData>
    <row r="1" customFormat="false" ht="26.55" hidden="false" customHeight="false" outlineLevel="0" collapsed="false">
      <c r="B1" s="197" t="s">
        <v>151</v>
      </c>
      <c r="C1" s="198" t="str">
        <f aca="false">'Set up'!D4</f>
        <v>Farm A</v>
      </c>
      <c r="D1" s="199"/>
      <c r="E1" s="200"/>
      <c r="F1" s="200" t="s">
        <v>152</v>
      </c>
      <c r="G1" s="201" t="n">
        <v>5</v>
      </c>
      <c r="H1" s="202"/>
      <c r="I1" s="44"/>
      <c r="J1" s="44"/>
      <c r="M1" s="203" t="s">
        <v>153</v>
      </c>
      <c r="N1" s="105"/>
      <c r="O1" s="47"/>
      <c r="P1" s="47"/>
      <c r="S1" s="52"/>
    </row>
    <row r="2" customFormat="false" ht="32.35" hidden="false" customHeight="false" outlineLevel="0" collapsed="false">
      <c r="B2" s="430" t="s">
        <v>2</v>
      </c>
      <c r="C2" s="198"/>
      <c r="D2" s="199"/>
      <c r="E2" s="205"/>
      <c r="F2" s="206" t="s">
        <v>154</v>
      </c>
      <c r="I2" s="56"/>
      <c r="J2" s="56"/>
      <c r="K2" s="207"/>
      <c r="L2" s="207"/>
      <c r="M2" s="44"/>
      <c r="N2" s="44"/>
      <c r="O2" s="47"/>
      <c r="P2" s="47"/>
      <c r="S2" s="52"/>
    </row>
    <row r="3" s="42" customFormat="true" ht="26.45" hidden="false" customHeight="false" outlineLevel="0" collapsed="false">
      <c r="B3" s="208" t="s">
        <v>155</v>
      </c>
      <c r="D3" s="56"/>
      <c r="I3" s="209" t="s">
        <v>156</v>
      </c>
      <c r="J3" s="210"/>
    </row>
    <row r="4" s="42" customFormat="true" ht="14.65" hidden="false" customHeight="false" outlineLevel="0" collapsed="false">
      <c r="B4" s="211" t="s">
        <v>157</v>
      </c>
      <c r="C4" s="212" t="n">
        <f aca="false">HLOOKUP($G$1,'Set up'!$D$12:$O$15,3,0)</f>
        <v>43313</v>
      </c>
      <c r="D4" s="213"/>
      <c r="F4" s="214"/>
      <c r="G4" s="215" t="s">
        <v>158</v>
      </c>
      <c r="H4" s="216"/>
      <c r="I4" s="217" t="s">
        <v>159</v>
      </c>
      <c r="J4" s="216"/>
      <c r="K4" s="218" t="s">
        <v>160</v>
      </c>
      <c r="L4" s="219"/>
      <c r="M4" s="220" t="s">
        <v>161</v>
      </c>
      <c r="N4" s="221"/>
      <c r="O4" s="105"/>
      <c r="P4" s="222"/>
      <c r="Q4" s="105"/>
      <c r="R4" s="105"/>
    </row>
    <row r="5" s="42" customFormat="true" ht="14.65" hidden="false" customHeight="false" outlineLevel="0" collapsed="false">
      <c r="B5" s="223" t="s">
        <v>162</v>
      </c>
      <c r="C5" s="224" t="n">
        <f aca="false">HLOOKUP($G$1,'Set up'!$D$12:$O$15,4,0)</f>
        <v>31</v>
      </c>
      <c r="D5" s="199"/>
      <c r="F5" s="222" t="s">
        <v>163</v>
      </c>
      <c r="G5" s="225" t="s">
        <v>164</v>
      </c>
      <c r="H5" s="226"/>
      <c r="I5" s="227" t="s">
        <v>165</v>
      </c>
      <c r="J5" s="227"/>
      <c r="K5" s="228" t="s">
        <v>165</v>
      </c>
      <c r="L5" s="229"/>
      <c r="M5" s="230" t="s">
        <v>164</v>
      </c>
      <c r="N5" s="231"/>
      <c r="O5" s="222"/>
      <c r="P5" s="222"/>
      <c r="Q5" s="105"/>
      <c r="R5" s="232"/>
    </row>
    <row r="6" s="42" customFormat="true" ht="14.65" hidden="false" customHeight="false" outlineLevel="0" collapsed="false">
      <c r="B6" s="233" t="s">
        <v>166</v>
      </c>
      <c r="C6" s="234" t="n">
        <f aca="false">C4+C5</f>
        <v>43344</v>
      </c>
      <c r="D6" s="199"/>
      <c r="F6" s="235" t="s">
        <v>131</v>
      </c>
      <c r="G6" s="236" t="n">
        <f aca="false">IF($G$1=1, VLOOKUP(F6,'Set up'!$A$50:$D$54,3,0),VLOOKUP(F6,'Set up'!$A$50:$O$54,$G$1+2,0))</f>
        <v>26776.4705882353</v>
      </c>
      <c r="H6" s="237"/>
      <c r="I6" s="238" t="n">
        <f aca="false">(($D$17*I$17*$C$5)+($D$18*I$18*$C$5)+($D$19*I$19*$C$5)+($D$20*I$20*$C$5)+($D$21*I$21*$C$5)+($D$22*I$22*$C$5)+($D$23*I$23*$C$5))*(100/VLOOKUP(F6,'Set up'!$A$50:$C$54,2,0))</f>
        <v>0</v>
      </c>
      <c r="J6" s="239"/>
      <c r="K6" s="240" t="n">
        <v>0</v>
      </c>
      <c r="L6" s="237"/>
      <c r="M6" s="241" t="n">
        <f aca="false">G6-I6+K6</f>
        <v>26776.4705882353</v>
      </c>
      <c r="N6" s="242"/>
      <c r="O6" s="44"/>
      <c r="P6" s="44"/>
      <c r="Q6" s="105"/>
      <c r="R6" s="243"/>
    </row>
    <row r="7" s="42" customFormat="true" ht="14.65" hidden="false" customHeight="false" outlineLevel="0" collapsed="false">
      <c r="B7" s="244"/>
      <c r="C7" s="213"/>
      <c r="F7" s="245" t="s">
        <v>129</v>
      </c>
      <c r="G7" s="431" t="n">
        <f aca="false">IF($G$1=1, VLOOKUP(F7,'Set up'!$A$50:$D$54,3,0),VLOOKUP(F7,'Set up'!$A$50:$O$54,$G$1+2,0))</f>
        <v>85040</v>
      </c>
      <c r="H7" s="247"/>
      <c r="I7" s="248" t="n">
        <f aca="false">((($D$17*K$17*$C$5)+($D$18*K$18*$C$5)+($D$19*K$19*$C$5)+($D$20*K$20*$C$5)+($D$21*K$21*$C$5)+($D$22*K$22*$C$5)+($D$23*K$23*$C$5)))*(100/VLOOKUP(F7,'Set up'!$A$50:$C$54,2,0))</f>
        <v>20666.6666666667</v>
      </c>
      <c r="J7" s="249"/>
      <c r="K7" s="250" t="n">
        <v>0</v>
      </c>
      <c r="L7" s="247"/>
      <c r="M7" s="251" t="n">
        <f aca="false">G7-I7+K7</f>
        <v>64373.3333333333</v>
      </c>
      <c r="N7" s="252"/>
      <c r="O7" s="44"/>
      <c r="P7" s="44"/>
      <c r="Q7" s="105"/>
      <c r="R7" s="243"/>
    </row>
    <row r="8" s="42" customFormat="true" ht="14.65" hidden="false" customHeight="false" outlineLevel="0" collapsed="false">
      <c r="B8" s="253" t="s">
        <v>167</v>
      </c>
      <c r="C8" s="254" t="n">
        <f aca="false">'Set up'!D7</f>
        <v>100</v>
      </c>
      <c r="D8" s="255" t="s">
        <v>168</v>
      </c>
      <c r="F8" s="256" t="s">
        <v>130</v>
      </c>
      <c r="G8" s="432" t="n">
        <f aca="false">IF($G$1=1, VLOOKUP(F8,'Set up'!$A$50:$D$54,3,0),VLOOKUP(F8,'Set up'!$A$50:$O$54,$G$1+2,0))</f>
        <v>0</v>
      </c>
      <c r="H8" s="257"/>
      <c r="I8" s="258" t="n">
        <f aca="false">(($D$17*M$17*$C$5)+($D$18*M$18*$C$5)+($D$19*M$19*$C$5)+($D$20*M$20*$C$5)+($D$21*M$21*$C$5)+($D$22*M$22*$C$5)+($D$23*M$23*$C$5))*(100/VLOOKUP(F8,'Set up'!$A$50:$C$54,2,0))</f>
        <v>0</v>
      </c>
      <c r="J8" s="259"/>
      <c r="K8" s="260" t="n">
        <v>0</v>
      </c>
      <c r="L8" s="257"/>
      <c r="M8" s="241" t="n">
        <f aca="false">G8-I8+K8</f>
        <v>0</v>
      </c>
      <c r="N8" s="261"/>
      <c r="O8" s="44"/>
      <c r="P8" s="44"/>
      <c r="Q8" s="105"/>
      <c r="R8" s="243"/>
      <c r="T8" s="262"/>
    </row>
    <row r="9" s="42" customFormat="true" ht="14.65" hidden="false" customHeight="false" outlineLevel="0" collapsed="false">
      <c r="B9" s="263" t="s">
        <v>169</v>
      </c>
      <c r="C9" s="264" t="n">
        <v>0</v>
      </c>
      <c r="D9" s="265" t="n">
        <f aca="true">IF($G$1&lt;&gt;1,INDIRECT("period"&amp;$G$1-1&amp;"!c9"),0)</f>
        <v>0</v>
      </c>
      <c r="F9" s="245" t="s">
        <v>132</v>
      </c>
      <c r="G9" s="431" t="n">
        <f aca="false">IF($G$1=1, VLOOKUP(F9,'Set up'!$A$50:$D$54,3,0),VLOOKUP(F9,'Set up'!$A$50:$O$54,$G$1+2,0))</f>
        <v>0</v>
      </c>
      <c r="H9" s="247"/>
      <c r="I9" s="248" t="n">
        <f aca="false">(($D$17*O$17*$C$5)+($D$18*O$18*$C$5)+($D$19*O$19*$C$5)+($D$20*O$20*$C$5)+($D$21*O$21*$C$5)+($D$22*O$22*$C$5)+($D$23*O$23*$C$5))*(100/VLOOKUP(F9,'Set up'!$A$50:$C$54,2,0))</f>
        <v>0</v>
      </c>
      <c r="J9" s="249"/>
      <c r="K9" s="250" t="n">
        <v>0</v>
      </c>
      <c r="L9" s="247"/>
      <c r="M9" s="251" t="n">
        <f aca="false">G9-I9+K9</f>
        <v>0</v>
      </c>
      <c r="N9" s="252"/>
      <c r="O9" s="44"/>
      <c r="P9" s="44"/>
      <c r="Q9" s="105"/>
      <c r="R9" s="243"/>
    </row>
    <row r="10" s="42" customFormat="true" ht="14.65" hidden="false" customHeight="false" outlineLevel="0" collapsed="false">
      <c r="B10" s="263" t="s">
        <v>170</v>
      </c>
      <c r="C10" s="266" t="n">
        <v>0</v>
      </c>
      <c r="D10" s="265" t="n">
        <f aca="true">IF($G$1&lt;&gt;1,INDIRECT("period"&amp;$G$1-1&amp;"!c10"),0)</f>
        <v>0</v>
      </c>
      <c r="F10" s="267" t="s">
        <v>133</v>
      </c>
      <c r="G10" s="433" t="n">
        <f aca="false">IF($G$1=1, VLOOKUP(F10,'Set up'!$A$50:$D$54,3,0),VLOOKUP(F10,'Set up'!$A$50:$O$54,$G$1+2,0))</f>
        <v>13042.1052631579</v>
      </c>
      <c r="H10" s="269"/>
      <c r="I10" s="270" t="n">
        <f aca="false">(($D$17*Q$17*$C$5)+($D$18*Q$18*$C$5)+($D$19*Q$19*$C$5)+($D$20*Q$20*$C$5)+($D$21*Q$21*$C$5)+($D$22*Q$22*$C$5)+($D$23*Q$23*$C$5))*(100/VLOOKUP(F10,'Set up'!$A$50:$C$54,2,0))</f>
        <v>8157.8947368421</v>
      </c>
      <c r="J10" s="271"/>
      <c r="K10" s="272" t="n">
        <v>0</v>
      </c>
      <c r="L10" s="269"/>
      <c r="M10" s="273" t="n">
        <f aca="false">G10-I10+K10</f>
        <v>4884.21052631579</v>
      </c>
      <c r="N10" s="274"/>
      <c r="O10" s="44"/>
      <c r="P10" s="44"/>
      <c r="Q10" s="105"/>
      <c r="R10" s="243"/>
    </row>
    <row r="11" s="42" customFormat="true" ht="14.65" hidden="false" customHeight="false" outlineLevel="0" collapsed="false">
      <c r="B11" s="275" t="s">
        <v>171</v>
      </c>
      <c r="C11" s="276" t="n">
        <f aca="false">C8-C9-C10</f>
        <v>100</v>
      </c>
      <c r="D11" s="265" t="n">
        <f aca="true">IF($G$1&lt;&gt;1,INDIRECT("period"&amp;$G$1-1&amp;"!c11"),0)</f>
        <v>100</v>
      </c>
      <c r="F11" s="42" t="s">
        <v>172</v>
      </c>
    </row>
    <row r="12" s="42" customFormat="true" ht="14.65" hidden="false" customHeight="false" outlineLevel="0" collapsed="false">
      <c r="A12" s="44"/>
      <c r="B12" s="277" t="s">
        <v>173</v>
      </c>
      <c r="C12" s="278" t="n">
        <f aca="false">INDEX('Set up'!D30:O30,1,G1)</f>
        <v>45</v>
      </c>
      <c r="D12" s="279" t="s">
        <v>174</v>
      </c>
      <c r="E12" s="44"/>
      <c r="F12" s="105" t="s">
        <v>175</v>
      </c>
      <c r="G12" s="105"/>
      <c r="H12" s="105"/>
      <c r="I12" s="105"/>
      <c r="J12" s="105"/>
    </row>
    <row r="13" s="42" customFormat="true" ht="14.65" hidden="false" customHeight="false" outlineLevel="0" collapsed="false">
      <c r="B13" s="2"/>
      <c r="C13" s="2"/>
      <c r="D13" s="2"/>
    </row>
    <row r="14" s="42" customFormat="true" ht="14.65" hidden="false" customHeight="false" outlineLevel="0" collapsed="false">
      <c r="B14" s="2"/>
      <c r="C14" s="2"/>
      <c r="D14" s="2"/>
      <c r="F14" s="280"/>
    </row>
    <row r="15" s="42" customFormat="true" ht="57.25" hidden="false" customHeight="true" outlineLevel="0" collapsed="false">
      <c r="B15" s="208" t="s">
        <v>176</v>
      </c>
      <c r="C15" s="281"/>
      <c r="D15" s="282"/>
      <c r="G15" s="283" t="s">
        <v>177</v>
      </c>
      <c r="N15" s="284"/>
      <c r="Y15" s="285"/>
      <c r="Z15" s="285"/>
      <c r="AA15" s="285"/>
      <c r="AB15" s="285"/>
      <c r="AC15" s="285"/>
      <c r="AD15" s="285"/>
    </row>
    <row r="16" customFormat="false" ht="47.7" hidden="false" customHeight="true" outlineLevel="0" collapsed="false">
      <c r="B16" s="286" t="s">
        <v>178</v>
      </c>
      <c r="C16" s="287" t="s">
        <v>179</v>
      </c>
      <c r="D16" s="288" t="s">
        <v>180</v>
      </c>
      <c r="E16" s="289" t="s">
        <v>181</v>
      </c>
      <c r="F16" s="290" t="s">
        <v>182</v>
      </c>
      <c r="G16" s="291" t="s">
        <v>123</v>
      </c>
      <c r="H16" s="292" t="s">
        <v>183</v>
      </c>
      <c r="I16" s="293" t="str">
        <f aca="false">F6</f>
        <v>Meadow Hay</v>
      </c>
      <c r="J16" s="294" t="s">
        <v>183</v>
      </c>
      <c r="K16" s="295" t="str">
        <f aca="false">F7</f>
        <v>Pasture Silage</v>
      </c>
      <c r="L16" s="292" t="s">
        <v>183</v>
      </c>
      <c r="M16" s="293" t="str">
        <f aca="false">F8</f>
        <v>Maize Silage</v>
      </c>
      <c r="N16" s="294" t="s">
        <v>183</v>
      </c>
      <c r="O16" s="295" t="str">
        <f aca="false">F9</f>
        <v>Crop</v>
      </c>
      <c r="P16" s="292" t="s">
        <v>183</v>
      </c>
      <c r="Q16" s="293" t="str">
        <f aca="false">F10</f>
        <v>Meal</v>
      </c>
      <c r="R16" s="294" t="s">
        <v>183</v>
      </c>
      <c r="S16" s="296"/>
    </row>
    <row r="17" customFormat="false" ht="14.65" hidden="false" customHeight="false" outlineLevel="0" collapsed="false">
      <c r="B17" s="297" t="s">
        <v>138</v>
      </c>
      <c r="C17" s="298" t="n">
        <f aca="false">VLOOKUP(B17,'Set up'!$B$62:$O$89,2+$G$1,FALSE())</f>
        <v>250</v>
      </c>
      <c r="D17" s="299" t="n">
        <v>250</v>
      </c>
      <c r="E17" s="300" t="str">
        <f aca="false">TRIM(CLEAN(INDEX('Set up'!$D$63:$O$87,MATCH(B17,'Set up'!$B$62:$B$89,0),+$G$1)))</f>
        <v>18</v>
      </c>
      <c r="F17" s="301" t="n">
        <f aca="false">G17+I17+K17+M17+O17+Q17</f>
        <v>18</v>
      </c>
      <c r="G17" s="302" t="n">
        <v>15</v>
      </c>
      <c r="H17" s="303" t="n">
        <f aca="true">IF($G$1&lt;&gt;1,INDIRECT("period"&amp;$G$1-1&amp;"!G17"),0)</f>
        <v>8</v>
      </c>
      <c r="I17" s="302" t="n">
        <v>0</v>
      </c>
      <c r="J17" s="303" t="n">
        <f aca="true">IF($G$1&lt;&gt;1,INDIRECT("period"&amp;$G$1-1&amp;"!I17"),0)</f>
        <v>1</v>
      </c>
      <c r="K17" s="302" t="n">
        <v>2</v>
      </c>
      <c r="L17" s="303" t="n">
        <f aca="true">IF($G$1&lt;&gt;1,INDIRECT("period"&amp;$G$1-1&amp;"!K17"),0)</f>
        <v>2</v>
      </c>
      <c r="M17" s="302" t="n">
        <v>0</v>
      </c>
      <c r="N17" s="303" t="n">
        <f aca="true">IF($G$1&lt;&gt;1,INDIRECT("period"&amp;$G$1-1&amp;"!M17"),0)</f>
        <v>0</v>
      </c>
      <c r="O17" s="302" t="n">
        <v>0</v>
      </c>
      <c r="P17" s="303" t="n">
        <f aca="true">IF($G$1&lt;&gt;1,INDIRECT("period"&amp;$G$1-1&amp;"!O17"),0)</f>
        <v>0</v>
      </c>
      <c r="Q17" s="304" t="n">
        <v>1</v>
      </c>
      <c r="R17" s="305" t="n">
        <f aca="true">IF($G$1&lt;&gt;1,INDIRECT("period"&amp;$G$1-1&amp;"!Q17"),0)</f>
        <v>1</v>
      </c>
      <c r="S17" s="306"/>
    </row>
    <row r="18" customFormat="false" ht="14.65" hidden="false" customHeight="false" outlineLevel="0" collapsed="false">
      <c r="B18" s="307" t="s">
        <v>142</v>
      </c>
      <c r="C18" s="308" t="n">
        <f aca="false">VLOOKUP(B18,'Set up'!$B$62:$O$89,2+$G$1,FALSE())</f>
        <v>0</v>
      </c>
      <c r="D18" s="309" t="n">
        <v>0</v>
      </c>
      <c r="E18" s="310" t="str">
        <f aca="false">TRIM(CLEAN(INDEX('Set up'!$D$63:$O$87,MATCH(B18,'Set up'!$B$62:$B$89,0),+$G$1)))</f>
        <v>0</v>
      </c>
      <c r="F18" s="311" t="n">
        <f aca="false">G18+I18+K18+M18+O18+Q18</f>
        <v>0</v>
      </c>
      <c r="G18" s="312" t="n">
        <v>0</v>
      </c>
      <c r="H18" s="313" t="n">
        <f aca="true">IF($G$1&lt;&gt;1,INDIRECT("period"&amp;$G$1-1&amp;"!G18"),0)</f>
        <v>9</v>
      </c>
      <c r="I18" s="312" t="n">
        <v>0</v>
      </c>
      <c r="J18" s="313" t="n">
        <f aca="true">IF($G$1&lt;&gt;1,INDIRECT("period"&amp;$G$1-1&amp;"!I18"),0)</f>
        <v>2</v>
      </c>
      <c r="K18" s="312" t="n">
        <v>0</v>
      </c>
      <c r="L18" s="313" t="n">
        <f aca="true">IF($G$1&lt;&gt;1,INDIRECT("period"&amp;$G$1-1&amp;"!K18"),0)</f>
        <v>0</v>
      </c>
      <c r="M18" s="312" t="n">
        <v>0</v>
      </c>
      <c r="N18" s="313" t="n">
        <f aca="true">IF($G$1&lt;&gt;1,INDIRECT("period"&amp;$G$1-1&amp;"!M18"),0)</f>
        <v>0</v>
      </c>
      <c r="O18" s="312" t="n">
        <v>0</v>
      </c>
      <c r="P18" s="313" t="n">
        <f aca="true">IF($G$1&lt;&gt;1,INDIRECT("period"&amp;$G$1-1&amp;"!O18"),0)</f>
        <v>0</v>
      </c>
      <c r="Q18" s="312" t="n">
        <v>0</v>
      </c>
      <c r="R18" s="313" t="n">
        <f aca="true">IF($G$1&lt;&gt;1,INDIRECT("period"&amp;$G$1-1&amp;"!Q18"),0)</f>
        <v>0</v>
      </c>
      <c r="S18" s="306"/>
    </row>
    <row r="19" customFormat="false" ht="14.65" hidden="false" customHeight="false" outlineLevel="0" collapsed="false">
      <c r="B19" s="314" t="s">
        <v>143</v>
      </c>
      <c r="C19" s="308" t="n">
        <f aca="false">VLOOKUP(B19,'Set up'!$B$62:$O$89,2+$G$1,FALSE())</f>
        <v>0</v>
      </c>
      <c r="D19" s="315" t="n">
        <v>0</v>
      </c>
      <c r="E19" s="316" t="str">
        <f aca="false">TRIM(CLEAN(INDEX('Set up'!$D$63:$O$87,MATCH(B19,'Set up'!$B$62:$B$89,0),+$G$1)))</f>
        <v>0</v>
      </c>
      <c r="F19" s="317" t="n">
        <f aca="false">G19+I19+K19+M19+O19+Q19</f>
        <v>0</v>
      </c>
      <c r="G19" s="304" t="n">
        <v>0</v>
      </c>
      <c r="H19" s="305" t="n">
        <f aca="true">IF($G$1&lt;&gt;1,INDIRECT("period"&amp;$G$1-1&amp;"!G19"),0)</f>
        <v>0</v>
      </c>
      <c r="I19" s="304" t="n">
        <v>0</v>
      </c>
      <c r="J19" s="305" t="n">
        <f aca="true">IF($G$1&lt;&gt;1,INDIRECT("period"&amp;$G$1-1&amp;"!I19"),0)</f>
        <v>0</v>
      </c>
      <c r="K19" s="304" t="n">
        <v>0</v>
      </c>
      <c r="L19" s="305" t="n">
        <f aca="true">IF($G$1&lt;&gt;1,INDIRECT("period"&amp;$G$1-1&amp;"!K19"),0)</f>
        <v>0</v>
      </c>
      <c r="M19" s="304" t="n">
        <v>0</v>
      </c>
      <c r="N19" s="305" t="n">
        <f aca="true">IF($G$1&lt;&gt;1,INDIRECT("period"&amp;$G$1-1&amp;"!G19"),0)</f>
        <v>0</v>
      </c>
      <c r="O19" s="304" t="n">
        <v>0</v>
      </c>
      <c r="P19" s="305" t="n">
        <f aca="true">IF($G$1&lt;&gt;1,INDIRECT("period"&amp;$G$1-1&amp;"!O19"),0)</f>
        <v>0</v>
      </c>
      <c r="Q19" s="304" t="n">
        <v>0</v>
      </c>
      <c r="R19" s="305" t="n">
        <f aca="true">IF($G$1&lt;&gt;1,INDIRECT("period"&amp;$G$1-1&amp;"!Q19"),0)</f>
        <v>0</v>
      </c>
      <c r="S19" s="306"/>
    </row>
    <row r="20" customFormat="false" ht="14.65" hidden="false" customHeight="false" outlineLevel="0" collapsed="false">
      <c r="B20" s="307" t="s">
        <v>144</v>
      </c>
      <c r="C20" s="308" t="n">
        <f aca="false">VLOOKUP(B20,'Set up'!$B$62:$O$89,2+$G$1,FALSE())</f>
        <v>50</v>
      </c>
      <c r="D20" s="318" t="n">
        <v>50</v>
      </c>
      <c r="E20" s="310" t="str">
        <f aca="false">TRIM(CLEAN(INDEX('Set up'!$D$63:$O$87,MATCH(B20,'Set up'!$B$62:$B$89,0),+$G$1)))</f>
        <v>7</v>
      </c>
      <c r="F20" s="311" t="n">
        <f aca="false">G20+I20+K20+M20+O20+Q20</f>
        <v>5</v>
      </c>
      <c r="G20" s="312" t="n">
        <v>5</v>
      </c>
      <c r="H20" s="313" t="n">
        <f aca="true">IF($G$1&lt;&gt;1,INDIRECT("period"&amp;$G$1-1&amp;"!G20"),0)</f>
        <v>5</v>
      </c>
      <c r="I20" s="312" t="n">
        <v>0</v>
      </c>
      <c r="J20" s="313" t="n">
        <f aca="true">IF($G$1&lt;&gt;1,INDIRECT("period"&amp;$G$1-1&amp;"!I27"),0)</f>
        <v>0</v>
      </c>
      <c r="K20" s="312" t="n">
        <v>0</v>
      </c>
      <c r="L20" s="313" t="n">
        <f aca="true">IF($G$1&lt;&gt;1,INDIRECT("period"&amp;$G$1-1&amp;"!K20"),0)</f>
        <v>0</v>
      </c>
      <c r="M20" s="312" t="n">
        <v>0</v>
      </c>
      <c r="N20" s="313" t="n">
        <f aca="true">IF($G$1&lt;&gt;1,INDIRECT("period"&amp;$G$1-1&amp;"!M20"),0)</f>
        <v>0</v>
      </c>
      <c r="O20" s="312" t="n">
        <v>0</v>
      </c>
      <c r="P20" s="313" t="n">
        <f aca="true">IF($G$1&lt;&gt;1,INDIRECT("period"&amp;$G$1-1&amp;"!O20"),0)</f>
        <v>0</v>
      </c>
      <c r="Q20" s="312" t="n">
        <v>0</v>
      </c>
      <c r="R20" s="313" t="n">
        <f aca="true">IF($G$1&lt;&gt;1,INDIRECT("period"&amp;$G$1-1&amp;"!Q20"),0)</f>
        <v>0</v>
      </c>
      <c r="S20" s="306"/>
    </row>
    <row r="21" customFormat="false" ht="14.65" hidden="false" customHeight="false" outlineLevel="0" collapsed="false">
      <c r="B21" s="314" t="s">
        <v>145</v>
      </c>
      <c r="C21" s="308" t="n">
        <f aca="false">VLOOKUP(B21,'Set up'!$B$62:$O$89,2+$G$1,FALSE())</f>
        <v>25</v>
      </c>
      <c r="D21" s="315" t="n">
        <v>25</v>
      </c>
      <c r="E21" s="316" t="str">
        <f aca="false">TRIM(CLEAN(INDEX('Set up'!$D$63:$O$87,MATCH(B21,'Set up'!$B$62:$B$89,0),+$G$1)))</f>
        <v>3</v>
      </c>
      <c r="F21" s="317" t="n">
        <f aca="false">G21+I21+K21+M21+O21+Q21</f>
        <v>3</v>
      </c>
      <c r="G21" s="304" t="n">
        <v>3</v>
      </c>
      <c r="H21" s="305" t="n">
        <f aca="true">IF($G$1&lt;&gt;1,INDIRECT("period"&amp;$G$1-1&amp;"!G21"),0)</f>
        <v>0</v>
      </c>
      <c r="I21" s="304" t="n">
        <v>0</v>
      </c>
      <c r="J21" s="305" t="n">
        <f aca="true">IF($G$1&lt;&gt;1,INDIRECT("period"&amp;$G$1-1&amp;"!I21"),0)</f>
        <v>0</v>
      </c>
      <c r="K21" s="304" t="n">
        <v>0</v>
      </c>
      <c r="L21" s="305" t="n">
        <f aca="true">IF($G$1&lt;&gt;1,INDIRECT("period"&amp;$G$1-1&amp;"!K21"),0)</f>
        <v>0</v>
      </c>
      <c r="M21" s="304" t="n">
        <v>0</v>
      </c>
      <c r="N21" s="305" t="n">
        <f aca="true">IF($G$1&lt;&gt;1,INDIRECT("period"&amp;$G$1-1&amp;"!M21"),0)</f>
        <v>0</v>
      </c>
      <c r="O21" s="304" t="n">
        <v>0</v>
      </c>
      <c r="P21" s="305" t="n">
        <f aca="true">IF($G$1&lt;&gt;1,INDIRECT("period"&amp;$G$1-1&amp;"!O21"),0)</f>
        <v>0</v>
      </c>
      <c r="Q21" s="304" t="n">
        <v>0</v>
      </c>
      <c r="R21" s="305" t="n">
        <f aca="true">IF($G$1&lt;&gt;1,INDIRECT("period"&amp;$G$1-1&amp;"!Q21"),0)</f>
        <v>0</v>
      </c>
      <c r="S21" s="319"/>
    </row>
    <row r="22" customFormat="false" ht="14.65" hidden="false" customHeight="false" outlineLevel="0" collapsed="false">
      <c r="B22" s="307" t="s">
        <v>147</v>
      </c>
      <c r="C22" s="308" t="n">
        <f aca="false">VLOOKUP(B22,'Set up'!$B$62:$O$89,2+$G$1,FALSE())</f>
        <v>0</v>
      </c>
      <c r="D22" s="318" t="n">
        <v>0</v>
      </c>
      <c r="E22" s="310" t="str">
        <f aca="false">TRIM(CLEAN(INDEX('Set up'!$D$63:$O$87,MATCH(B22,'Set up'!$B$62:$B$89,0),+$G$1)))</f>
        <v>0</v>
      </c>
      <c r="F22" s="311" t="n">
        <f aca="false">G22+I22+K22+M22+O22+Q22</f>
        <v>0</v>
      </c>
      <c r="G22" s="312" t="n">
        <v>0</v>
      </c>
      <c r="H22" s="313" t="n">
        <f aca="true">IF($G$1&lt;&gt;1,INDIRECT("period"&amp;$G$1-1&amp;"!G22"),0)</f>
        <v>0</v>
      </c>
      <c r="I22" s="312" t="n">
        <v>0</v>
      </c>
      <c r="J22" s="313" t="n">
        <f aca="true">IF($G$1&lt;&gt;1,INDIRECT("period"&amp;$G$1-1&amp;"!i22"),0)</f>
        <v>0</v>
      </c>
      <c r="K22" s="312" t="n">
        <v>0</v>
      </c>
      <c r="L22" s="313" t="n">
        <f aca="true">IF($G$1&lt;&gt;1,INDIRECT("period"&amp;$G$1-1&amp;"!G22"),0)</f>
        <v>0</v>
      </c>
      <c r="M22" s="312" t="n">
        <v>0</v>
      </c>
      <c r="N22" s="313" t="n">
        <f aca="true">IF($G$1&lt;&gt;1,INDIRECT("period"&amp;$G$1-1&amp;"!M22"),0)</f>
        <v>0</v>
      </c>
      <c r="O22" s="312" t="n">
        <v>0</v>
      </c>
      <c r="P22" s="313" t="n">
        <f aca="true">IF($G$1&lt;&gt;1,INDIRECT("period"&amp;$G$1-1&amp;"!O22"),0)</f>
        <v>0</v>
      </c>
      <c r="Q22" s="312" t="n">
        <v>0</v>
      </c>
      <c r="R22" s="313" t="n">
        <f aca="true">IF($G$1&lt;&gt;1,INDIRECT("period"&amp;$G$1-1&amp;"!Q22"),0)</f>
        <v>0</v>
      </c>
      <c r="S22" s="306"/>
    </row>
    <row r="23" customFormat="false" ht="14.65" hidden="false" customHeight="false" outlineLevel="0" collapsed="false">
      <c r="B23" s="320" t="s">
        <v>146</v>
      </c>
      <c r="C23" s="321" t="n">
        <f aca="false">VLOOKUP(B23,'Set up'!$B$62:$O$89,2+$G$1,FALSE())</f>
        <v>0</v>
      </c>
      <c r="D23" s="322" t="n">
        <v>0</v>
      </c>
      <c r="E23" s="323" t="str">
        <f aca="false">TRIM(CLEAN(INDEX('Set up'!$D$63:$O$87,MATCH(B23,'Set up'!$B$62:$B$89,0),+$G$1)))</f>
        <v>0</v>
      </c>
      <c r="F23" s="324" t="n">
        <f aca="false">G23+I23+K23+M23+O23+Q23</f>
        <v>0</v>
      </c>
      <c r="G23" s="325" t="n">
        <v>0</v>
      </c>
      <c r="H23" s="326" t="n">
        <f aca="true">IF($G$1&lt;&gt;1,INDIRECT("period"&amp;$G$1-1&amp;"!G23"),0)</f>
        <v>0</v>
      </c>
      <c r="I23" s="325" t="n">
        <v>0</v>
      </c>
      <c r="J23" s="326" t="n">
        <f aca="true">IF($G$1&lt;&gt;1,INDIRECT("period"&amp;$G$1-1&amp;"!I23"),0)</f>
        <v>0</v>
      </c>
      <c r="K23" s="325" t="n">
        <v>0</v>
      </c>
      <c r="L23" s="326" t="n">
        <f aca="true">IF($G$1&lt;&gt;1,INDIRECT("period"&amp;$G$1-1&amp;"!K23"),0)</f>
        <v>0</v>
      </c>
      <c r="M23" s="325" t="n">
        <v>0</v>
      </c>
      <c r="N23" s="326" t="n">
        <f aca="true">IF($G$1&lt;&gt;1,INDIRECT("period"&amp;$G$1-1&amp;"!M23"),0)</f>
        <v>0</v>
      </c>
      <c r="O23" s="325" t="n">
        <v>0</v>
      </c>
      <c r="P23" s="326" t="n">
        <f aca="true">IF($G$1&lt;&gt;1,INDIRECT("period"&amp;$G$1-1&amp;"!G23"),0)</f>
        <v>0</v>
      </c>
      <c r="Q23" s="325" t="n">
        <v>0</v>
      </c>
      <c r="R23" s="326" t="n">
        <f aca="true">IF($G$1&lt;&gt;1,INDIRECT("period"&amp;$G$1-1&amp;"!Q23"),0)</f>
        <v>0</v>
      </c>
      <c r="S23" s="306"/>
    </row>
    <row r="24" customFormat="false" ht="14.65" hidden="false" customHeight="false" outlineLevel="0" collapsed="false">
      <c r="B24" s="327" t="s">
        <v>184</v>
      </c>
      <c r="C24" s="328" t="n">
        <f aca="false">SUM(C17:C23)</f>
        <v>325</v>
      </c>
      <c r="D24" s="329" t="n">
        <f aca="false">SUM(D17:D23)</f>
        <v>325</v>
      </c>
      <c r="E24" s="330"/>
      <c r="F24" s="330"/>
      <c r="S24" s="331"/>
    </row>
    <row r="25" customFormat="false" ht="14.65" hidden="false" customHeight="false" outlineLevel="0" collapsed="false">
      <c r="B25" s="332"/>
      <c r="C25" s="333"/>
      <c r="D25" s="334"/>
      <c r="E25" s="330"/>
      <c r="F25" s="330"/>
      <c r="H25" s="335"/>
      <c r="I25" s="336"/>
      <c r="J25" s="337" t="s">
        <v>185</v>
      </c>
      <c r="K25" s="336"/>
      <c r="L25" s="336"/>
      <c r="M25" s="338"/>
      <c r="S25" s="331"/>
    </row>
    <row r="26" s="42" customFormat="true" ht="14.65" hidden="false" customHeight="false" outlineLevel="0" collapsed="false">
      <c r="H26" s="339"/>
      <c r="I26" s="340"/>
      <c r="J26" s="341" t="s">
        <v>186</v>
      </c>
      <c r="K26" s="342" t="n">
        <f aca="false">G46</f>
        <v>2053.15855263158</v>
      </c>
      <c r="L26" s="343" t="s">
        <v>174</v>
      </c>
      <c r="M26" s="344"/>
    </row>
    <row r="27" s="42" customFormat="true" ht="14.65" hidden="false" customHeight="false" outlineLevel="0" collapsed="false">
      <c r="H27" s="136"/>
      <c r="I27" s="346"/>
      <c r="J27" s="347" t="s">
        <v>187</v>
      </c>
      <c r="K27" s="348" t="str">
        <f aca="false">"("&amp;G47</f>
        <v>(2000</v>
      </c>
      <c r="L27" s="349" t="s">
        <v>188</v>
      </c>
      <c r="M27" s="350"/>
    </row>
    <row r="28" s="42" customFormat="true" ht="27.25" hidden="false" customHeight="false" outlineLevel="0" collapsed="false">
      <c r="B28" s="208" t="s">
        <v>189</v>
      </c>
      <c r="G28" s="351"/>
      <c r="H28" s="351"/>
      <c r="I28" s="352"/>
      <c r="J28" s="352"/>
      <c r="K28" s="353" t="s">
        <v>190</v>
      </c>
      <c r="L28" s="353"/>
      <c r="M28" s="352"/>
      <c r="N28" s="352"/>
      <c r="O28" s="352"/>
      <c r="P28" s="352"/>
      <c r="Q28" s="354"/>
      <c r="R28" s="354"/>
    </row>
    <row r="29" s="42" customFormat="true" ht="14.65" hidden="false" customHeight="false" outlineLevel="0" collapsed="false">
      <c r="B29" s="42" t="s">
        <v>191</v>
      </c>
      <c r="G29" s="355"/>
      <c r="H29" s="355"/>
      <c r="I29" s="356"/>
      <c r="J29" s="356"/>
      <c r="K29" s="357"/>
      <c r="L29" s="357"/>
      <c r="M29" s="356"/>
      <c r="N29" s="356"/>
      <c r="O29" s="356"/>
      <c r="P29" s="356"/>
      <c r="Q29" s="358"/>
      <c r="R29" s="358"/>
      <c r="T29" s="359"/>
    </row>
    <row r="30" s="42" customFormat="true" ht="23.85" hidden="false" customHeight="false" outlineLevel="0" collapsed="false">
      <c r="G30" s="360" t="s">
        <v>123</v>
      </c>
      <c r="H30" s="361"/>
      <c r="I30" s="362" t="str">
        <f aca="false">I16</f>
        <v>Meadow Hay</v>
      </c>
      <c r="J30" s="363"/>
      <c r="K30" s="364" t="str">
        <f aca="false">K16</f>
        <v>Pasture Silage</v>
      </c>
      <c r="L30" s="365"/>
      <c r="M30" s="362" t="str">
        <f aca="false">M16</f>
        <v>Maize Silage</v>
      </c>
      <c r="N30" s="363"/>
      <c r="O30" s="366" t="str">
        <f aca="false">O16</f>
        <v>Crop</v>
      </c>
      <c r="P30" s="365"/>
      <c r="Q30" s="362" t="str">
        <f aca="false">Q16</f>
        <v>Meal</v>
      </c>
      <c r="R30" s="363"/>
    </row>
    <row r="31" s="42" customFormat="true" ht="14.65" hidden="false" customHeight="false" outlineLevel="0" collapsed="false">
      <c r="E31" s="367" t="str">
        <f aca="false">B17</f>
        <v>Milking Cows Herd A</v>
      </c>
      <c r="F31" s="368"/>
      <c r="G31" s="369" t="n">
        <f aca="false">G17*(1/INDEX('Set up'!$D$45:$O$45,1,$G$1))</f>
        <v>18.75</v>
      </c>
      <c r="H31" s="370"/>
      <c r="I31" s="371" t="n">
        <f aca="false">I17*100/((VLOOKUP(I$16,'Set up'!$A$50:$B$54,2,0)))</f>
        <v>0</v>
      </c>
      <c r="J31" s="371"/>
      <c r="K31" s="369" t="n">
        <f aca="false">K17*100/((VLOOKUP(K$16,'Set up'!$A$50:$B$54,2,0)))</f>
        <v>2.66666666666667</v>
      </c>
      <c r="L31" s="370"/>
      <c r="M31" s="369" t="n">
        <f aca="false">M17*100/((VLOOKUP(M$16,'Set up'!$A$50:$B$54,2,0)))</f>
        <v>0</v>
      </c>
      <c r="N31" s="370"/>
      <c r="O31" s="369" t="n">
        <f aca="false">O17*100/((VLOOKUP(O$16,'Set up'!$A$50:$B$54,2,0)))</f>
        <v>0</v>
      </c>
      <c r="P31" s="370"/>
      <c r="Q31" s="369" t="n">
        <f aca="false">Q17*100/((VLOOKUP(Q$16,'Set up'!$A$50:$B$54,2,0)))</f>
        <v>1.05263157894737</v>
      </c>
      <c r="R31" s="370"/>
    </row>
    <row r="32" s="42" customFormat="true" ht="14.65" hidden="false" customHeight="false" outlineLevel="0" collapsed="false">
      <c r="E32" s="372" t="str">
        <f aca="false">B18</f>
        <v>Dry Fats</v>
      </c>
      <c r="F32" s="373"/>
      <c r="G32" s="374" t="n">
        <f aca="false">G18*(1/INDEX('Set up'!$D$45:$O$45,1,$G$1))</f>
        <v>0</v>
      </c>
      <c r="H32" s="375"/>
      <c r="I32" s="376" t="n">
        <f aca="false">I18*100/((VLOOKUP(I$16,'Set up'!$A$50:$B$54,2,0)))</f>
        <v>0</v>
      </c>
      <c r="J32" s="376"/>
      <c r="K32" s="377" t="n">
        <f aca="false">K18*100/((VLOOKUP(K$16,'Set up'!$A$50:$B$54,2,0)))</f>
        <v>0</v>
      </c>
      <c r="L32" s="378"/>
      <c r="M32" s="377" t="n">
        <f aca="false">M18*100/((VLOOKUP(M$16,'Set up'!$A$50:$B$54,2,0)))</f>
        <v>0</v>
      </c>
      <c r="N32" s="378"/>
      <c r="O32" s="377" t="n">
        <f aca="false">O18*100/((VLOOKUP(O$16,'Set up'!$A$50:$B$54,2,0)))</f>
        <v>0</v>
      </c>
      <c r="P32" s="378"/>
      <c r="Q32" s="377" t="n">
        <f aca="false">Q18*100/((VLOOKUP(Q$16,'Set up'!$A$50:$B$54,2,0)))</f>
        <v>0</v>
      </c>
      <c r="R32" s="378"/>
    </row>
    <row r="33" s="42" customFormat="true" ht="14.65" hidden="false" customHeight="false" outlineLevel="0" collapsed="false">
      <c r="E33" s="379" t="str">
        <f aca="false">B19</f>
        <v>Dry thins</v>
      </c>
      <c r="F33" s="380"/>
      <c r="G33" s="369" t="n">
        <f aca="false">G19*(1/INDEX('Set up'!$D$45:$O$45,1,$G$1))</f>
        <v>0</v>
      </c>
      <c r="H33" s="370"/>
      <c r="I33" s="371" t="n">
        <f aca="false">I19*100/((VLOOKUP(I$16,'Set up'!$A$50:$B$54,2,0)))</f>
        <v>0</v>
      </c>
      <c r="J33" s="371"/>
      <c r="K33" s="369" t="n">
        <f aca="false">K19*100/((VLOOKUP(K$16,'Set up'!$A$50:$B$54,2,0)))</f>
        <v>0</v>
      </c>
      <c r="L33" s="370"/>
      <c r="M33" s="369" t="n">
        <f aca="false">M19*100/((VLOOKUP(M$16,'Set up'!$A$50:$B$54,2,0)))</f>
        <v>0</v>
      </c>
      <c r="N33" s="370"/>
      <c r="O33" s="369" t="n">
        <f aca="false">O19*100/((VLOOKUP(O$16,'Set up'!$A$50:$B$54,2,0)))</f>
        <v>0</v>
      </c>
      <c r="P33" s="370"/>
      <c r="Q33" s="369" t="n">
        <f aca="false">Q19*100/((VLOOKUP(Q$16,'Set up'!$A$50:$B$54,2,0)))</f>
        <v>0</v>
      </c>
      <c r="R33" s="370"/>
    </row>
    <row r="34" s="42" customFormat="true" ht="14.65" hidden="false" customHeight="false" outlineLevel="0" collapsed="false">
      <c r="E34" s="372" t="str">
        <f aca="false">B20</f>
        <v>R 2yr heifers</v>
      </c>
      <c r="F34" s="373"/>
      <c r="G34" s="374" t="n">
        <f aca="false">G20*(1/INDEX('Set up'!$D$45:$O$45,1,$G$1))</f>
        <v>6.25</v>
      </c>
      <c r="H34" s="375"/>
      <c r="I34" s="381" t="n">
        <f aca="false">I20*100/((VLOOKUP(I$16,'Set up'!$A$50:$B$54,2,0)))</f>
        <v>0</v>
      </c>
      <c r="J34" s="381"/>
      <c r="K34" s="382" t="n">
        <f aca="false">K20*100/((VLOOKUP(K$16,'Set up'!$A$50:$B$54,2,0)))</f>
        <v>0</v>
      </c>
      <c r="L34" s="383"/>
      <c r="M34" s="382" t="n">
        <f aca="false">M20*100/((VLOOKUP(M$16,'Set up'!$A$50:$B$54,2,0)))</f>
        <v>0</v>
      </c>
      <c r="N34" s="383"/>
      <c r="O34" s="382" t="n">
        <f aca="false">O20*100/((VLOOKUP(O$16,'Set up'!$A$50:$B$54,2,0)))</f>
        <v>0</v>
      </c>
      <c r="P34" s="383"/>
      <c r="Q34" s="382" t="n">
        <f aca="false">Q20*100/((VLOOKUP(Q$16,'Set up'!$A$50:$B$54,2,0)))</f>
        <v>0</v>
      </c>
      <c r="R34" s="383"/>
    </row>
    <row r="35" s="42" customFormat="true" ht="14.65" hidden="false" customHeight="false" outlineLevel="0" collapsed="false">
      <c r="E35" s="367" t="str">
        <f aca="false">B21</f>
        <v>Heifer Calves</v>
      </c>
      <c r="F35" s="368"/>
      <c r="G35" s="369" t="n">
        <f aca="false">G21*(1/INDEX('Set up'!$D$45:$O$45,1,$G$1))</f>
        <v>3.75</v>
      </c>
      <c r="H35" s="370"/>
      <c r="I35" s="371" t="n">
        <f aca="false">I21*100/((VLOOKUP(I$16,'Set up'!$A$50:$B$54,2,0)))</f>
        <v>0</v>
      </c>
      <c r="J35" s="371"/>
      <c r="K35" s="369" t="n">
        <f aca="false">K21*100/((VLOOKUP(K$16,'Set up'!$A$50:$B$54,2,0)))</f>
        <v>0</v>
      </c>
      <c r="L35" s="370"/>
      <c r="M35" s="369" t="n">
        <f aca="false">M21*100/((VLOOKUP(M$16,'Set up'!$A$50:$B$54,2,0)))</f>
        <v>0</v>
      </c>
      <c r="N35" s="370"/>
      <c r="O35" s="369" t="n">
        <f aca="false">O21*100/((VLOOKUP(O$16,'Set up'!$A$50:$B$54,2,0)))</f>
        <v>0</v>
      </c>
      <c r="P35" s="370"/>
      <c r="Q35" s="369" t="n">
        <f aca="false">Q21*100/((VLOOKUP(Q$16,'Set up'!$A$50:$B$54,2,0)))</f>
        <v>0</v>
      </c>
      <c r="R35" s="370"/>
    </row>
    <row r="36" s="42" customFormat="true" ht="14.65" hidden="false" customHeight="false" outlineLevel="0" collapsed="false">
      <c r="E36" s="372" t="str">
        <f aca="false">B22</f>
        <v>Bulls</v>
      </c>
      <c r="F36" s="373"/>
      <c r="G36" s="374" t="n">
        <f aca="false">G22*(1/INDEX('Set up'!$D$45:$O$45,1,$G$1))</f>
        <v>0</v>
      </c>
      <c r="H36" s="375"/>
      <c r="I36" s="381" t="n">
        <f aca="false">I22*100/((VLOOKUP(I$16,'Set up'!$A$50:$B$54,2,0)))</f>
        <v>0</v>
      </c>
      <c r="J36" s="381"/>
      <c r="K36" s="382" t="n">
        <f aca="false">K22*100/((VLOOKUP(K$16,'Set up'!$A$50:$B$54,2,0)))</f>
        <v>0</v>
      </c>
      <c r="L36" s="383"/>
      <c r="M36" s="382" t="n">
        <f aca="false">M22*100/((VLOOKUP(M$16,'Set up'!$A$50:$B$54,2,0)))</f>
        <v>0</v>
      </c>
      <c r="N36" s="383"/>
      <c r="O36" s="382" t="n">
        <f aca="false">O22*100/((VLOOKUP(O$16,'Set up'!$A$50:$B$54,2,0)))</f>
        <v>0</v>
      </c>
      <c r="P36" s="383"/>
      <c r="Q36" s="382" t="n">
        <f aca="false">Q22*100/((VLOOKUP(Q$16,'Set up'!$A$50:$B$54,2,0)))</f>
        <v>0</v>
      </c>
      <c r="R36" s="383"/>
    </row>
    <row r="37" s="42" customFormat="true" ht="14.65" hidden="false" customHeight="false" outlineLevel="0" collapsed="false">
      <c r="E37" s="379" t="str">
        <f aca="false">B23</f>
        <v>Bull Calves</v>
      </c>
      <c r="F37" s="380"/>
      <c r="G37" s="369" t="n">
        <f aca="false">G23*(1/INDEX('Set up'!$D$45:$O$45,1,$G$1))</f>
        <v>0</v>
      </c>
      <c r="H37" s="370"/>
      <c r="I37" s="371" t="n">
        <f aca="false">I23*100/((VLOOKUP(I$16,'Set up'!$A$50:$B$54,2,0)))</f>
        <v>0</v>
      </c>
      <c r="J37" s="371"/>
      <c r="K37" s="369" t="n">
        <f aca="false">K23*100/((VLOOKUP(K$16,'Set up'!$A$50:$B$54,2,0)))</f>
        <v>0</v>
      </c>
      <c r="L37" s="370"/>
      <c r="M37" s="369" t="n">
        <f aca="false">M23*100/((VLOOKUP(M$16,'Set up'!$A$50:$B$54,2,0)))</f>
        <v>0</v>
      </c>
      <c r="N37" s="370"/>
      <c r="O37" s="369" t="n">
        <f aca="false">O23*100/((VLOOKUP(O$16,'Set up'!$A$50:$B$54,2,0)))</f>
        <v>0</v>
      </c>
      <c r="P37" s="370"/>
      <c r="Q37" s="369" t="n">
        <f aca="false">Q23*100/((VLOOKUP(Q$16,'Set up'!$A$50:$B$54,2,0)))</f>
        <v>0</v>
      </c>
      <c r="R37" s="370"/>
    </row>
    <row r="38" s="105" customFormat="true" ht="14.95" hidden="false" customHeight="false" outlineLevel="0" collapsed="false">
      <c r="B38" s="384"/>
      <c r="C38" s="385"/>
      <c r="D38" s="386"/>
      <c r="E38" s="386"/>
      <c r="F38" s="387" t="s">
        <v>192</v>
      </c>
      <c r="G38" s="388" t="n">
        <f aca="false">(($G17*$D17)+($G18*$D18)+($G19*$D19)+($G20*$D20)+($G21*$D21)+($G22*$D22)+($G23*$D23))*(1/INDEX('Set up'!$D45:$O45,1,$G$1))</f>
        <v>5093.75</v>
      </c>
      <c r="H38" s="388"/>
      <c r="I38" s="389" t="n">
        <f aca="false">((I17*$D17)+(I18*$D18)+(I19*$D19)+(I20*$D20)+(I21*$D21)+(I22*$D22)+(I23*$D23))*(100/VLOOKUP($F6,'Set up'!$A$50:$C$54,2,0))</f>
        <v>0</v>
      </c>
      <c r="J38" s="390"/>
      <c r="K38" s="389" t="n">
        <f aca="false">((K17*$D17)+(K18*$D18)+(K19*$D19)+(K20*$D20)+(K21*$D21)+(K22*$D22)+(K23*$D23))*(100/VLOOKUP($F7,'Set up'!$A$50:$C$54,2,0))</f>
        <v>666.666666666667</v>
      </c>
      <c r="L38" s="390"/>
      <c r="M38" s="389" t="n">
        <f aca="false">((M17*$D17)+(M18*$D18)+(M19*$D19)+(M20*$D20)+(M21*$D21)+(M22*$D22)+(M23*$D23))*(100/VLOOKUP($F8,'Set up'!$A$50:$C$54,2,0))</f>
        <v>0</v>
      </c>
      <c r="N38" s="390"/>
      <c r="O38" s="389" t="n">
        <f aca="false">((O17*$D17)+(O18*$D18)+(O19*$D19)+(O20*$D20)+(O21*$D21)+(O22*$D22)+(O23*$D23))*(100/VLOOKUP($F9,'Set up'!$A$50:$C$54,2,0))</f>
        <v>0</v>
      </c>
      <c r="P38" s="390"/>
      <c r="Q38" s="389" t="n">
        <f aca="false">((Q17*$D17)+(Q18*$D18)+(Q19*$D19)+(Q20*$D20)+(Q21*$D21)+(Q22*$D22)+(Q23*$D23))*(100/VLOOKUP($F10,'Set up'!$A$50:$C$54,2,0))</f>
        <v>263.157894736842</v>
      </c>
      <c r="R38" s="390"/>
      <c r="S38" s="331"/>
    </row>
    <row r="39" s="42" customFormat="true" ht="14.95" hidden="false" customHeight="false" outlineLevel="0" collapsed="false">
      <c r="B39" s="391"/>
      <c r="C39" s="392"/>
      <c r="D39" s="392"/>
      <c r="E39" s="392"/>
      <c r="F39" s="393" t="s">
        <v>193</v>
      </c>
      <c r="G39" s="394" t="n">
        <f aca="false">G38*$C$5</f>
        <v>157906.25</v>
      </c>
      <c r="H39" s="394"/>
      <c r="I39" s="395" t="n">
        <f aca="false">I38*$C$5</f>
        <v>0</v>
      </c>
      <c r="J39" s="396"/>
      <c r="K39" s="395" t="n">
        <f aca="false">K38*$C$5</f>
        <v>20666.6666666667</v>
      </c>
      <c r="L39" s="396"/>
      <c r="M39" s="395" t="n">
        <f aca="false">M38*$C$5</f>
        <v>0</v>
      </c>
      <c r="N39" s="396"/>
      <c r="O39" s="395" t="n">
        <f aca="false">O38*$C$5</f>
        <v>0</v>
      </c>
      <c r="P39" s="396"/>
      <c r="Q39" s="395" t="n">
        <f aca="false">Q38*$C$5</f>
        <v>8157.8947368421</v>
      </c>
      <c r="R39" s="396"/>
    </row>
    <row r="40" s="42" customFormat="true" ht="14.95" hidden="false" customHeight="false" outlineLevel="0" collapsed="false">
      <c r="B40" s="42" t="s">
        <v>194</v>
      </c>
    </row>
    <row r="41" s="42" customFormat="true" ht="14.75" hidden="false" customHeight="true" outlineLevel="0" collapsed="false"/>
    <row r="42" customFormat="false" ht="14.75" hidden="false" customHeight="true" outlineLevel="0" collapsed="false">
      <c r="Q42" s="52"/>
      <c r="R42" s="52"/>
      <c r="S42" s="44"/>
    </row>
    <row r="43" s="42" customFormat="true" ht="32" hidden="false" customHeight="true" outlineLevel="0" collapsed="false">
      <c r="B43" s="208" t="s">
        <v>195</v>
      </c>
    </row>
    <row r="44" s="42" customFormat="true" ht="32" hidden="false" customHeight="true" outlineLevel="0" collapsed="false">
      <c r="B44" s="208"/>
    </row>
    <row r="45" s="42" customFormat="true" ht="14.65" hidden="false" customHeight="false" outlineLevel="0" collapsed="false">
      <c r="B45" s="44"/>
      <c r="C45" s="237"/>
      <c r="D45" s="397"/>
      <c r="E45" s="397"/>
      <c r="F45" s="398" t="s">
        <v>196</v>
      </c>
      <c r="G45" s="399" t="n">
        <f aca="true">IF(G1=1,'Set up'!$D$35,INDIRECT("period"&amp;$G$1-1&amp;"!G46"))</f>
        <v>2237.22105263158</v>
      </c>
      <c r="H45" s="400" t="s">
        <v>197</v>
      </c>
      <c r="I45" s="401"/>
      <c r="J45" s="402"/>
      <c r="K45" s="213" t="str">
        <f aca="false">IF(G1=1,"*NB: For Period1, enter the opening  Av Farm Cover in cell D37 in 'Set up'","NB: Opening av farm cover is the previous period's forecasted closing av farm cover")</f>
        <v>NB: Opening av farm cover is the previous period's forecasted closing av farm cover</v>
      </c>
      <c r="P45" s="44"/>
      <c r="V45" s="345"/>
      <c r="W45" s="2"/>
    </row>
    <row r="46" s="42" customFormat="true" ht="14.65" hidden="false" customHeight="false" outlineLevel="0" collapsed="false">
      <c r="B46" s="44"/>
      <c r="C46" s="403"/>
      <c r="D46" s="404"/>
      <c r="E46" s="404"/>
      <c r="F46" s="405" t="s">
        <v>198</v>
      </c>
      <c r="G46" s="406" t="n">
        <f aca="false">($G$45+ ($C$5*$C$12) -(G39/C11))</f>
        <v>2053.15855263158</v>
      </c>
      <c r="H46" s="407" t="s">
        <v>197</v>
      </c>
      <c r="I46" s="408"/>
      <c r="J46" s="409"/>
      <c r="K46" s="410"/>
      <c r="P46" s="44"/>
    </row>
    <row r="47" s="42" customFormat="true" ht="14.65" hidden="false" customHeight="false" outlineLevel="0" collapsed="false">
      <c r="B47" s="44"/>
      <c r="C47" s="411"/>
      <c r="D47" s="412"/>
      <c r="E47" s="412"/>
      <c r="F47" s="413" t="s">
        <v>199</v>
      </c>
      <c r="G47" s="429" t="n">
        <f aca="false">INDEX('Set up'!$D37:$O37,1,G1)</f>
        <v>2000</v>
      </c>
      <c r="H47" s="415" t="s">
        <v>197</v>
      </c>
      <c r="I47" s="416"/>
      <c r="J47" s="417"/>
      <c r="K47" s="410"/>
      <c r="P47" s="331"/>
      <c r="V47" s="345"/>
    </row>
    <row r="48" s="42" customFormat="true" ht="14.65" hidden="false" customHeight="false" outlineLevel="0" collapsed="false">
      <c r="B48" s="44"/>
      <c r="C48" s="247"/>
      <c r="D48" s="418"/>
      <c r="E48" s="418"/>
      <c r="F48" s="419" t="s">
        <v>200</v>
      </c>
      <c r="G48" s="420" t="n">
        <f aca="false">G46-G47</f>
        <v>53.1585526315821</v>
      </c>
      <c r="H48" s="407" t="s">
        <v>197</v>
      </c>
      <c r="I48" s="408"/>
      <c r="J48" s="421"/>
      <c r="K48" s="422" t="s">
        <v>201</v>
      </c>
      <c r="P48" s="331"/>
    </row>
    <row r="49" s="42" customFormat="true" ht="14.65" hidden="false" customHeight="false" outlineLevel="0" collapsed="false">
      <c r="B49" s="44"/>
      <c r="C49" s="269"/>
      <c r="D49" s="423"/>
      <c r="E49" s="423"/>
      <c r="F49" s="424" t="s">
        <v>202</v>
      </c>
      <c r="G49" s="425" t="n">
        <f aca="false">G48*C11</f>
        <v>5315.85526315821</v>
      </c>
      <c r="H49" s="426" t="str">
        <f aca="false">"kg DM total over  nett "&amp;C11&amp;" ha"</f>
        <v>kg DM total over  nett 100 ha</v>
      </c>
      <c r="I49" s="427"/>
      <c r="J49" s="428"/>
      <c r="K49" s="410"/>
      <c r="P49" s="331"/>
      <c r="Q49" s="42" t="str">
        <f aca="false">CONCATENATE(Q43,S43)</f>
        <v/>
      </c>
    </row>
  </sheetData>
  <sheetProtection sheet="true" objects="true" scenarios="true" selectLockedCells="true"/>
  <mergeCells count="1">
    <mergeCell ref="Y15:AD15"/>
  </mergeCells>
  <dataValidations count="4">
    <dataValidation allowBlank="false" operator="equal" showDropDown="false" showErrorMessage="false" showInputMessage="false" sqref="F6 F8:F10" type="list">
      <formula1>'Set up'!$A$50:$A$54</formula1>
      <formula2>0</formula2>
    </dataValidation>
    <dataValidation allowBlank="false" operator="equal" showDropDown="false" showErrorMessage="false" showInputMessage="false" sqref="F7" type="list">
      <formula1>'Set up'!$A$50:$A$54</formula1>
      <formula2>0</formula2>
    </dataValidation>
    <dataValidation allowBlank="true" operator="equal" showDropDown="false" showErrorMessage="false" showInputMessage="false" sqref="B17" type="list">
      <formula1>'Set up'!$B$62:$B$90</formula1>
      <formula2>0</formula2>
    </dataValidation>
    <dataValidation allowBlank="true" operator="equal" showDropDown="false" showErrorMessage="false" showInputMessage="false" sqref="B18:B23" type="list">
      <formula1>'Set up'!$B$62:$B$89</formula1>
      <formula2>0</formula2>
    </dataValidation>
  </dataValidation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&amp;C&amp;"Arial,Regular"&amp;A</oddHeader>
    <oddFooter>&amp;C&amp;"Arial,Regular"Page &amp;P</oddFooter>
  </headerFooter>
  <drawing r:id="rId2"/>
  <legacyDrawing r:id="rId3"/>
</worksheet>
</file>

<file path=xl/worksheets/sheet9.xml><?xml version="1.0" encoding="utf-8"?>
<worksheet xmlns="http://schemas.openxmlformats.org/spreadsheetml/2006/main" xmlns:r="http://schemas.openxmlformats.org/officeDocument/2006/relationships">
  <sheetPr filterMode="false">
    <pageSetUpPr fitToPage="false"/>
  </sheetPr>
  <dimension ref="A1:AD49"/>
  <sheetViews>
    <sheetView showFormulas="false" showGridLines="false" showRowColHeaders="true" showZeros="true" rightToLeft="false" tabSelected="false" showOutlineSymbols="true" defaultGridColor="true" view="normal" topLeftCell="A1" colorId="64" zoomScale="110" zoomScaleNormal="110" zoomScalePageLayoutView="100" workbookViewId="0">
      <selection pane="topLeft" activeCell="B2" activeCellId="0" sqref="B2"/>
    </sheetView>
  </sheetViews>
  <sheetFormatPr defaultRowHeight="14.65" zeroHeight="false" outlineLevelRow="0" outlineLevelCol="0"/>
  <cols>
    <col collapsed="false" customWidth="true" hidden="false" outlineLevel="0" max="1" min="1" style="42" width="4.08"/>
    <col collapsed="false" customWidth="true" hidden="false" outlineLevel="0" max="2" min="2" style="42" width="30.91"/>
    <col collapsed="false" customWidth="true" hidden="false" outlineLevel="0" max="3" min="3" style="42" width="9.88"/>
    <col collapsed="false" customWidth="true" hidden="false" outlineLevel="0" max="4" min="4" style="42" width="10.51"/>
    <col collapsed="false" customWidth="true" hidden="false" outlineLevel="0" max="5" min="5" style="42" width="12.08"/>
    <col collapsed="false" customWidth="true" hidden="false" outlineLevel="0" max="6" min="6" style="42" width="11.76"/>
    <col collapsed="false" customWidth="true" hidden="false" outlineLevel="0" max="7" min="7" style="42" width="10.2"/>
    <col collapsed="false" customWidth="true" hidden="false" outlineLevel="0" max="8" min="8" style="42" width="5.1"/>
    <col collapsed="false" customWidth="true" hidden="false" outlineLevel="0" max="9" min="9" style="42" width="10.2"/>
    <col collapsed="false" customWidth="true" hidden="false" outlineLevel="0" max="10" min="10" style="42" width="5.1"/>
    <col collapsed="false" customWidth="true" hidden="false" outlineLevel="0" max="11" min="11" style="42" width="10.2"/>
    <col collapsed="false" customWidth="true" hidden="false" outlineLevel="0" max="12" min="12" style="42" width="5.1"/>
    <col collapsed="false" customWidth="true" hidden="false" outlineLevel="0" max="13" min="13" style="42" width="10.2"/>
    <col collapsed="false" customWidth="true" hidden="false" outlineLevel="0" max="14" min="14" style="42" width="5.1"/>
    <col collapsed="false" customWidth="true" hidden="false" outlineLevel="0" max="15" min="15" style="42" width="10.2"/>
    <col collapsed="false" customWidth="true" hidden="false" outlineLevel="0" max="16" min="16" style="42" width="5.1"/>
    <col collapsed="false" customWidth="true" hidden="false" outlineLevel="0" max="17" min="17" style="42" width="10.2"/>
    <col collapsed="false" customWidth="true" hidden="false" outlineLevel="0" max="18" min="18" style="42" width="5.1"/>
    <col collapsed="false" customWidth="true" hidden="false" outlineLevel="0" max="19" min="19" style="105" width="4.08"/>
    <col collapsed="false" customWidth="true" hidden="false" outlineLevel="0" max="1025" min="20" style="42" width="13.38"/>
  </cols>
  <sheetData>
    <row r="1" customFormat="false" ht="26.55" hidden="false" customHeight="false" outlineLevel="0" collapsed="false">
      <c r="B1" s="197" t="s">
        <v>151</v>
      </c>
      <c r="C1" s="198" t="str">
        <f aca="false">'Set up'!D4</f>
        <v>Farm A</v>
      </c>
      <c r="D1" s="199"/>
      <c r="E1" s="200"/>
      <c r="F1" s="200" t="s">
        <v>152</v>
      </c>
      <c r="G1" s="201" t="n">
        <v>6</v>
      </c>
      <c r="H1" s="202"/>
      <c r="I1" s="44"/>
      <c r="J1" s="44"/>
      <c r="M1" s="203" t="s">
        <v>153</v>
      </c>
      <c r="N1" s="105"/>
      <c r="O1" s="47"/>
      <c r="P1" s="47"/>
      <c r="S1" s="52"/>
    </row>
    <row r="2" customFormat="false" ht="32.35" hidden="false" customHeight="false" outlineLevel="0" collapsed="false">
      <c r="B2" s="430" t="s">
        <v>2</v>
      </c>
      <c r="C2" s="198"/>
      <c r="D2" s="199"/>
      <c r="E2" s="205"/>
      <c r="F2" s="206" t="s">
        <v>154</v>
      </c>
      <c r="I2" s="56"/>
      <c r="J2" s="56"/>
      <c r="K2" s="207"/>
      <c r="L2" s="207"/>
      <c r="M2" s="44"/>
      <c r="N2" s="44"/>
      <c r="O2" s="47"/>
      <c r="P2" s="47"/>
      <c r="S2" s="52"/>
    </row>
    <row r="3" s="42" customFormat="true" ht="26.45" hidden="false" customHeight="false" outlineLevel="0" collapsed="false">
      <c r="B3" s="208" t="s">
        <v>155</v>
      </c>
      <c r="D3" s="56"/>
      <c r="I3" s="209" t="s">
        <v>156</v>
      </c>
      <c r="J3" s="210"/>
    </row>
    <row r="4" s="42" customFormat="true" ht="14.65" hidden="false" customHeight="false" outlineLevel="0" collapsed="false">
      <c r="B4" s="211" t="s">
        <v>157</v>
      </c>
      <c r="C4" s="212" t="n">
        <f aca="false">HLOOKUP($G$1,'Set up'!$D$12:$O$15,3,0)</f>
        <v>43344</v>
      </c>
      <c r="D4" s="213"/>
      <c r="F4" s="214"/>
      <c r="G4" s="215" t="s">
        <v>158</v>
      </c>
      <c r="H4" s="216"/>
      <c r="I4" s="217" t="s">
        <v>159</v>
      </c>
      <c r="J4" s="216"/>
      <c r="K4" s="218" t="s">
        <v>160</v>
      </c>
      <c r="L4" s="219"/>
      <c r="M4" s="220" t="s">
        <v>161</v>
      </c>
      <c r="N4" s="221"/>
      <c r="O4" s="105"/>
      <c r="P4" s="222"/>
      <c r="Q4" s="105"/>
      <c r="R4" s="105"/>
    </row>
    <row r="5" s="42" customFormat="true" ht="14.65" hidden="false" customHeight="false" outlineLevel="0" collapsed="false">
      <c r="B5" s="223" t="s">
        <v>162</v>
      </c>
      <c r="C5" s="224" t="n">
        <f aca="false">HLOOKUP($G$1,'Set up'!$D$12:$O$15,4,0)</f>
        <v>30</v>
      </c>
      <c r="D5" s="199"/>
      <c r="F5" s="222" t="s">
        <v>163</v>
      </c>
      <c r="G5" s="225" t="s">
        <v>164</v>
      </c>
      <c r="H5" s="226"/>
      <c r="I5" s="227" t="s">
        <v>165</v>
      </c>
      <c r="J5" s="227"/>
      <c r="K5" s="228" t="s">
        <v>165</v>
      </c>
      <c r="L5" s="229"/>
      <c r="M5" s="230" t="s">
        <v>164</v>
      </c>
      <c r="N5" s="231"/>
      <c r="O5" s="222"/>
      <c r="P5" s="222"/>
      <c r="Q5" s="105"/>
      <c r="R5" s="232"/>
    </row>
    <row r="6" s="42" customFormat="true" ht="14.65" hidden="false" customHeight="false" outlineLevel="0" collapsed="false">
      <c r="B6" s="233" t="s">
        <v>166</v>
      </c>
      <c r="C6" s="234" t="n">
        <f aca="false">C4+C5</f>
        <v>43374</v>
      </c>
      <c r="D6" s="199"/>
      <c r="F6" s="235" t="s">
        <v>131</v>
      </c>
      <c r="G6" s="236" t="n">
        <f aca="false">IF($G$1=1, VLOOKUP(F6,'Set up'!$A$50:$D$54,3,0),VLOOKUP(F6,'Set up'!$A$50:$O$54,$G$1+2,0))</f>
        <v>26776.4705882353</v>
      </c>
      <c r="H6" s="237"/>
      <c r="I6" s="238" t="n">
        <f aca="false">(($D$17*I$17*$C$5)+($D$18*I$18*$C$5)+($D$19*I$19*$C$5)+($D$20*I$20*$C$5)+($D$21*I$21*$C$5)+($D$22*I$22*$C$5)+($D$23*I$23*$C$5))*(100/VLOOKUP(F6,'Set up'!$A$50:$C$54,2,0))</f>
        <v>8823.52941176471</v>
      </c>
      <c r="J6" s="239"/>
      <c r="K6" s="240" t="n">
        <v>0</v>
      </c>
      <c r="L6" s="237"/>
      <c r="M6" s="241" t="n">
        <f aca="false">G6-I6+K6</f>
        <v>17952.9411764706</v>
      </c>
      <c r="N6" s="242"/>
      <c r="O6" s="44"/>
      <c r="P6" s="44"/>
      <c r="Q6" s="105"/>
      <c r="R6" s="243"/>
    </row>
    <row r="7" s="42" customFormat="true" ht="14.65" hidden="false" customHeight="false" outlineLevel="0" collapsed="false">
      <c r="B7" s="244"/>
      <c r="C7" s="213"/>
      <c r="F7" s="245" t="s">
        <v>129</v>
      </c>
      <c r="G7" s="246" t="n">
        <f aca="false">IF($G$1=1, VLOOKUP(F7,'Set up'!$A$50:$D$54,3,0),VLOOKUP(F7,'Set up'!$A$50:$O$54,$G$1+2,0))</f>
        <v>64373.3333333333</v>
      </c>
      <c r="H7" s="247"/>
      <c r="I7" s="248" t="n">
        <f aca="false">((($D$17*K$17*$C$5)+($D$18*K$18*$C$5)+($D$19*K$19*$C$5)+($D$20*K$20*$C$5)+($D$21*K$21*$C$5)+($D$22*K$22*$C$5)+($D$23*K$23*$C$5)))*(100/VLOOKUP(F7,'Set up'!$A$50:$C$54,2,0))</f>
        <v>20000</v>
      </c>
      <c r="J7" s="249"/>
      <c r="K7" s="250" t="n">
        <v>0</v>
      </c>
      <c r="L7" s="247"/>
      <c r="M7" s="251" t="n">
        <f aca="false">G7-I7+K7</f>
        <v>44373.3333333333</v>
      </c>
      <c r="N7" s="252"/>
      <c r="O7" s="44"/>
      <c r="P7" s="44"/>
      <c r="Q7" s="105"/>
      <c r="R7" s="243"/>
    </row>
    <row r="8" s="42" customFormat="true" ht="14.65" hidden="false" customHeight="false" outlineLevel="0" collapsed="false">
      <c r="B8" s="253" t="s">
        <v>167</v>
      </c>
      <c r="C8" s="254" t="n">
        <f aca="false">'Set up'!D7</f>
        <v>100</v>
      </c>
      <c r="D8" s="255" t="s">
        <v>168</v>
      </c>
      <c r="F8" s="256" t="s">
        <v>130</v>
      </c>
      <c r="G8" s="236" t="n">
        <f aca="false">IF($G$1=1, VLOOKUP(F8,'Set up'!$A$50:$D$54,3,0),VLOOKUP(F8,'Set up'!$A$50:$O$54,$G$1+2,0))</f>
        <v>0</v>
      </c>
      <c r="H8" s="257"/>
      <c r="I8" s="258" t="n">
        <f aca="false">(($D$17*M$17*$C$5)+($D$18*M$18*$C$5)+($D$19*M$19*$C$5)+($D$20*M$20*$C$5)+($D$21*M$21*$C$5)+($D$22*M$22*$C$5)+($D$23*M$23*$C$5))*(100/VLOOKUP(F8,'Set up'!$A$50:$C$54,2,0))</f>
        <v>0</v>
      </c>
      <c r="J8" s="259"/>
      <c r="K8" s="260" t="n">
        <v>0</v>
      </c>
      <c r="L8" s="257"/>
      <c r="M8" s="241" t="n">
        <f aca="false">G8-I8+K8</f>
        <v>0</v>
      </c>
      <c r="N8" s="261"/>
      <c r="O8" s="44"/>
      <c r="P8" s="44"/>
      <c r="Q8" s="105"/>
      <c r="R8" s="243"/>
      <c r="T8" s="262"/>
    </row>
    <row r="9" s="42" customFormat="true" ht="14.65" hidden="false" customHeight="false" outlineLevel="0" collapsed="false">
      <c r="B9" s="263" t="s">
        <v>169</v>
      </c>
      <c r="C9" s="264" t="n">
        <v>0</v>
      </c>
      <c r="D9" s="265" t="n">
        <f aca="true">IF($G$1&lt;&gt;1,INDIRECT("period"&amp;$G$1-1&amp;"!c9"),0)</f>
        <v>0</v>
      </c>
      <c r="F9" s="245" t="s">
        <v>132</v>
      </c>
      <c r="G9" s="246" t="n">
        <f aca="false">IF($G$1=1, VLOOKUP(F9,'Set up'!$A$50:$D$54,3,0),VLOOKUP(F9,'Set up'!$A$50:$O$54,$G$1+2,0))</f>
        <v>0</v>
      </c>
      <c r="H9" s="247"/>
      <c r="I9" s="248" t="n">
        <f aca="false">(($D$17*O$17*$C$5)+($D$18*O$18*$C$5)+($D$19*O$19*$C$5)+($D$20*O$20*$C$5)+($D$21*O$21*$C$5)+($D$22*O$22*$C$5)+($D$23*O$23*$C$5))*(100/VLOOKUP(F9,'Set up'!$A$50:$C$54,2,0))</f>
        <v>0</v>
      </c>
      <c r="J9" s="249"/>
      <c r="K9" s="250" t="n">
        <v>0</v>
      </c>
      <c r="L9" s="247"/>
      <c r="M9" s="251" t="n">
        <f aca="false">G9-I9+K9</f>
        <v>0</v>
      </c>
      <c r="N9" s="252"/>
      <c r="O9" s="44"/>
      <c r="P9" s="44"/>
      <c r="Q9" s="105"/>
      <c r="R9" s="243"/>
    </row>
    <row r="10" s="42" customFormat="true" ht="14.65" hidden="false" customHeight="false" outlineLevel="0" collapsed="false">
      <c r="B10" s="263" t="s">
        <v>170</v>
      </c>
      <c r="C10" s="266" t="n">
        <v>10</v>
      </c>
      <c r="D10" s="265" t="n">
        <f aca="true">IF($G$1&lt;&gt;1,INDIRECT("period"&amp;$G$1-1&amp;"!c10"),0)</f>
        <v>0</v>
      </c>
      <c r="F10" s="267" t="s">
        <v>133</v>
      </c>
      <c r="G10" s="268" t="n">
        <f aca="false">IF($G$1=1, VLOOKUP(F10,'Set up'!$A$50:$D$54,3,0),VLOOKUP(F10,'Set up'!$A$50:$O$54,$G$1+2,0))</f>
        <v>4884.21052631579</v>
      </c>
      <c r="H10" s="269"/>
      <c r="I10" s="270" t="n">
        <f aca="false">(($D$17*Q$17*$C$5)+($D$18*Q$18*$C$5)+($D$19*Q$19*$C$5)+($D$20*Q$20*$C$5)+($D$21*Q$21*$C$5)+($D$22*Q$22*$C$5)+($D$23*Q$23*$C$5))*(100/VLOOKUP(F10,'Set up'!$A$50:$C$54,2,0))</f>
        <v>7894.73684210526</v>
      </c>
      <c r="J10" s="271"/>
      <c r="K10" s="272" t="n">
        <v>12000</v>
      </c>
      <c r="L10" s="269"/>
      <c r="M10" s="273" t="n">
        <f aca="false">G10-I10+K10</f>
        <v>8989.47368421053</v>
      </c>
      <c r="N10" s="274"/>
      <c r="O10" s="44"/>
      <c r="P10" s="44"/>
      <c r="Q10" s="105"/>
      <c r="R10" s="243"/>
    </row>
    <row r="11" s="42" customFormat="true" ht="14.65" hidden="false" customHeight="false" outlineLevel="0" collapsed="false">
      <c r="B11" s="275" t="s">
        <v>171</v>
      </c>
      <c r="C11" s="276" t="n">
        <f aca="false">C8-C9-C10</f>
        <v>90</v>
      </c>
      <c r="D11" s="265" t="n">
        <f aca="true">IF($G$1&lt;&gt;1,INDIRECT("period"&amp;$G$1-1&amp;"!c11"),0)</f>
        <v>100</v>
      </c>
      <c r="F11" s="42" t="s">
        <v>172</v>
      </c>
    </row>
    <row r="12" s="42" customFormat="true" ht="14.65" hidden="false" customHeight="false" outlineLevel="0" collapsed="false">
      <c r="A12" s="44"/>
      <c r="B12" s="277" t="s">
        <v>173</v>
      </c>
      <c r="C12" s="278" t="n">
        <f aca="false">INDEX('Set up'!D30:O30,1,G1)</f>
        <v>60</v>
      </c>
      <c r="D12" s="279" t="s">
        <v>174</v>
      </c>
      <c r="E12" s="44"/>
      <c r="F12" s="105" t="s">
        <v>175</v>
      </c>
      <c r="G12" s="105"/>
      <c r="H12" s="105"/>
      <c r="I12" s="105"/>
      <c r="J12" s="105"/>
    </row>
    <row r="13" s="42" customFormat="true" ht="14.65" hidden="false" customHeight="false" outlineLevel="0" collapsed="false">
      <c r="B13" s="2"/>
      <c r="C13" s="2"/>
      <c r="D13" s="2"/>
    </row>
    <row r="14" s="42" customFormat="true" ht="14.65" hidden="false" customHeight="false" outlineLevel="0" collapsed="false">
      <c r="B14" s="2"/>
      <c r="C14" s="2"/>
      <c r="D14" s="2"/>
      <c r="F14" s="280"/>
    </row>
    <row r="15" s="42" customFormat="true" ht="57.25" hidden="false" customHeight="true" outlineLevel="0" collapsed="false">
      <c r="B15" s="208" t="s">
        <v>176</v>
      </c>
      <c r="C15" s="281"/>
      <c r="D15" s="282"/>
      <c r="G15" s="283" t="s">
        <v>177</v>
      </c>
      <c r="N15" s="284"/>
      <c r="Y15" s="285"/>
      <c r="Z15" s="285"/>
      <c r="AA15" s="285"/>
      <c r="AB15" s="285"/>
      <c r="AC15" s="285"/>
      <c r="AD15" s="285"/>
    </row>
    <row r="16" customFormat="false" ht="47.7" hidden="false" customHeight="true" outlineLevel="0" collapsed="false">
      <c r="B16" s="286" t="s">
        <v>178</v>
      </c>
      <c r="C16" s="287" t="s">
        <v>179</v>
      </c>
      <c r="D16" s="288" t="s">
        <v>180</v>
      </c>
      <c r="E16" s="289" t="s">
        <v>181</v>
      </c>
      <c r="F16" s="290" t="s">
        <v>182</v>
      </c>
      <c r="G16" s="291" t="s">
        <v>123</v>
      </c>
      <c r="H16" s="292" t="s">
        <v>183</v>
      </c>
      <c r="I16" s="293" t="str">
        <f aca="false">F6</f>
        <v>Meadow Hay</v>
      </c>
      <c r="J16" s="294" t="s">
        <v>183</v>
      </c>
      <c r="K16" s="295" t="str">
        <f aca="false">F7</f>
        <v>Pasture Silage</v>
      </c>
      <c r="L16" s="292" t="s">
        <v>183</v>
      </c>
      <c r="M16" s="293" t="str">
        <f aca="false">F8</f>
        <v>Maize Silage</v>
      </c>
      <c r="N16" s="294" t="s">
        <v>183</v>
      </c>
      <c r="O16" s="295" t="str">
        <f aca="false">F9</f>
        <v>Crop</v>
      </c>
      <c r="P16" s="292" t="s">
        <v>183</v>
      </c>
      <c r="Q16" s="293" t="str">
        <f aca="false">F10</f>
        <v>Meal</v>
      </c>
      <c r="R16" s="294" t="s">
        <v>183</v>
      </c>
      <c r="S16" s="296"/>
    </row>
    <row r="17" customFormat="false" ht="14.65" hidden="false" customHeight="false" outlineLevel="0" collapsed="false">
      <c r="B17" s="297" t="s">
        <v>138</v>
      </c>
      <c r="C17" s="298" t="n">
        <f aca="false">VLOOKUP(B17,'Set up'!$B$62:$O$89,2+$G$1,FALSE())</f>
        <v>250</v>
      </c>
      <c r="D17" s="299" t="n">
        <v>250</v>
      </c>
      <c r="E17" s="300" t="str">
        <f aca="false">TRIM(CLEAN(INDEX('Set up'!$D$63:$O$87,MATCH(B17,'Set up'!$B$62:$B$89,0),+$G$1)))</f>
        <v>18</v>
      </c>
      <c r="F17" s="301" t="n">
        <f aca="false">G17+I17+K17+M17+O17+Q17</f>
        <v>18</v>
      </c>
      <c r="G17" s="302" t="n">
        <v>14</v>
      </c>
      <c r="H17" s="303" t="n">
        <f aca="true">IF($G$1&lt;&gt;1,INDIRECT("period"&amp;$G$1-1&amp;"!G17"),0)</f>
        <v>15</v>
      </c>
      <c r="I17" s="302" t="n">
        <v>1</v>
      </c>
      <c r="J17" s="303" t="n">
        <f aca="true">IF($G$1&lt;&gt;1,INDIRECT("period"&amp;$G$1-1&amp;"!I17"),0)</f>
        <v>0</v>
      </c>
      <c r="K17" s="302" t="n">
        <v>2</v>
      </c>
      <c r="L17" s="303" t="n">
        <f aca="true">IF($G$1&lt;&gt;1,INDIRECT("period"&amp;$G$1-1&amp;"!K17"),0)</f>
        <v>2</v>
      </c>
      <c r="M17" s="302" t="n">
        <v>0</v>
      </c>
      <c r="N17" s="303" t="n">
        <f aca="true">IF($G$1&lt;&gt;1,INDIRECT("period"&amp;$G$1-1&amp;"!M17"),0)</f>
        <v>0</v>
      </c>
      <c r="O17" s="302" t="n">
        <v>0</v>
      </c>
      <c r="P17" s="303" t="n">
        <f aca="true">IF($G$1&lt;&gt;1,INDIRECT("period"&amp;$G$1-1&amp;"!O17"),0)</f>
        <v>0</v>
      </c>
      <c r="Q17" s="304" t="n">
        <v>1</v>
      </c>
      <c r="R17" s="305" t="n">
        <f aca="true">IF($G$1&lt;&gt;1,INDIRECT("period"&amp;$G$1-1&amp;"!Q17"),0)</f>
        <v>1</v>
      </c>
      <c r="S17" s="306"/>
    </row>
    <row r="18" customFormat="false" ht="14.65" hidden="false" customHeight="false" outlineLevel="0" collapsed="false">
      <c r="B18" s="307" t="s">
        <v>142</v>
      </c>
      <c r="C18" s="308" t="n">
        <f aca="false">VLOOKUP(B18,'Set up'!$B$62:$O$89,2+$G$1,FALSE())</f>
        <v>0</v>
      </c>
      <c r="D18" s="309" t="n">
        <v>0</v>
      </c>
      <c r="E18" s="310" t="str">
        <f aca="false">TRIM(CLEAN(INDEX('Set up'!$D$63:$O$87,MATCH(B18,'Set up'!$B$62:$B$89,0),+$G$1)))</f>
        <v>0</v>
      </c>
      <c r="F18" s="311" t="n">
        <f aca="false">G18+I18+K18+M18+O18+Q18</f>
        <v>0</v>
      </c>
      <c r="G18" s="312" t="n">
        <v>0</v>
      </c>
      <c r="H18" s="313" t="n">
        <f aca="true">IF($G$1&lt;&gt;1,INDIRECT("period"&amp;$G$1-1&amp;"!G18"),0)</f>
        <v>0</v>
      </c>
      <c r="I18" s="312" t="n">
        <v>0</v>
      </c>
      <c r="J18" s="313" t="n">
        <f aca="true">IF($G$1&lt;&gt;1,INDIRECT("period"&amp;$G$1-1&amp;"!I18"),0)</f>
        <v>0</v>
      </c>
      <c r="K18" s="312" t="n">
        <v>0</v>
      </c>
      <c r="L18" s="313" t="n">
        <f aca="true">IF($G$1&lt;&gt;1,INDIRECT("period"&amp;$G$1-1&amp;"!K18"),0)</f>
        <v>0</v>
      </c>
      <c r="M18" s="312" t="n">
        <v>0</v>
      </c>
      <c r="N18" s="313" t="n">
        <f aca="true">IF($G$1&lt;&gt;1,INDIRECT("period"&amp;$G$1-1&amp;"!M18"),0)</f>
        <v>0</v>
      </c>
      <c r="O18" s="312" t="n">
        <v>0</v>
      </c>
      <c r="P18" s="313" t="n">
        <f aca="true">IF($G$1&lt;&gt;1,INDIRECT("period"&amp;$G$1-1&amp;"!O18"),0)</f>
        <v>0</v>
      </c>
      <c r="Q18" s="312" t="n">
        <v>0</v>
      </c>
      <c r="R18" s="313" t="n">
        <f aca="true">IF($G$1&lt;&gt;1,INDIRECT("period"&amp;$G$1-1&amp;"!Q18"),0)</f>
        <v>0</v>
      </c>
      <c r="S18" s="306"/>
    </row>
    <row r="19" customFormat="false" ht="14.65" hidden="false" customHeight="false" outlineLevel="0" collapsed="false">
      <c r="B19" s="314" t="s">
        <v>143</v>
      </c>
      <c r="C19" s="308" t="n">
        <f aca="false">VLOOKUP(B19,'Set up'!$B$62:$O$89,2+$G$1,FALSE())</f>
        <v>0</v>
      </c>
      <c r="D19" s="315" t="n">
        <v>0</v>
      </c>
      <c r="E19" s="316" t="str">
        <f aca="false">TRIM(CLEAN(INDEX('Set up'!$D$63:$O$87,MATCH(B19,'Set up'!$B$62:$B$89,0),+$G$1)))</f>
        <v>0</v>
      </c>
      <c r="F19" s="317" t="n">
        <f aca="false">G19+I19+K19+M19+O19+Q19</f>
        <v>2</v>
      </c>
      <c r="G19" s="304" t="n">
        <v>0</v>
      </c>
      <c r="H19" s="305" t="n">
        <f aca="true">IF($G$1&lt;&gt;1,INDIRECT("period"&amp;$G$1-1&amp;"!G19"),0)</f>
        <v>0</v>
      </c>
      <c r="I19" s="304" t="n">
        <v>0</v>
      </c>
      <c r="J19" s="305" t="n">
        <f aca="true">IF($G$1&lt;&gt;1,INDIRECT("period"&amp;$G$1-1&amp;"!I19"),0)</f>
        <v>0</v>
      </c>
      <c r="K19" s="304" t="n">
        <v>2</v>
      </c>
      <c r="L19" s="305" t="n">
        <f aca="true">IF($G$1&lt;&gt;1,INDIRECT("period"&amp;$G$1-1&amp;"!K19"),0)</f>
        <v>0</v>
      </c>
      <c r="M19" s="304" t="n">
        <v>0</v>
      </c>
      <c r="N19" s="305" t="n">
        <f aca="true">IF($G$1&lt;&gt;1,INDIRECT("period"&amp;$G$1-1&amp;"!G19"),0)</f>
        <v>0</v>
      </c>
      <c r="O19" s="304" t="n">
        <v>0</v>
      </c>
      <c r="P19" s="305" t="n">
        <f aca="true">IF($G$1&lt;&gt;1,INDIRECT("period"&amp;$G$1-1&amp;"!O19"),0)</f>
        <v>0</v>
      </c>
      <c r="Q19" s="304" t="n">
        <v>0</v>
      </c>
      <c r="R19" s="305" t="n">
        <f aca="true">IF($G$1&lt;&gt;1,INDIRECT("period"&amp;$G$1-1&amp;"!Q19"),0)</f>
        <v>0</v>
      </c>
      <c r="S19" s="306"/>
    </row>
    <row r="20" customFormat="false" ht="14.65" hidden="false" customHeight="false" outlineLevel="0" collapsed="false">
      <c r="B20" s="307" t="s">
        <v>144</v>
      </c>
      <c r="C20" s="308" t="n">
        <f aca="false">VLOOKUP(B20,'Set up'!$B$62:$O$89,2+$G$1,FALSE())</f>
        <v>50</v>
      </c>
      <c r="D20" s="318" t="n">
        <v>50</v>
      </c>
      <c r="E20" s="310" t="str">
        <f aca="false">TRIM(CLEAN(INDEX('Set up'!$D$63:$O$87,MATCH(B20,'Set up'!$B$62:$B$89,0),+$G$1)))</f>
        <v>6</v>
      </c>
      <c r="F20" s="311" t="n">
        <f aca="false">G20+I20+K20+M20+O20+Q20</f>
        <v>6</v>
      </c>
      <c r="G20" s="312" t="n">
        <v>6</v>
      </c>
      <c r="H20" s="313" t="n">
        <f aca="true">IF($G$1&lt;&gt;1,INDIRECT("period"&amp;$G$1-1&amp;"!G20"),0)</f>
        <v>5</v>
      </c>
      <c r="I20" s="312" t="n">
        <v>0</v>
      </c>
      <c r="J20" s="313" t="n">
        <f aca="true">IF($G$1&lt;&gt;1,INDIRECT("period"&amp;$G$1-1&amp;"!I27"),0)</f>
        <v>0</v>
      </c>
      <c r="K20" s="312" t="n">
        <v>0</v>
      </c>
      <c r="L20" s="313" t="n">
        <f aca="true">IF($G$1&lt;&gt;1,INDIRECT("period"&amp;$G$1-1&amp;"!K20"),0)</f>
        <v>0</v>
      </c>
      <c r="M20" s="312" t="n">
        <v>0</v>
      </c>
      <c r="N20" s="313" t="n">
        <f aca="true">IF($G$1&lt;&gt;1,INDIRECT("period"&amp;$G$1-1&amp;"!M20"),0)</f>
        <v>0</v>
      </c>
      <c r="O20" s="312" t="n">
        <v>0</v>
      </c>
      <c r="P20" s="313" t="n">
        <f aca="true">IF($G$1&lt;&gt;1,INDIRECT("period"&amp;$G$1-1&amp;"!O20"),0)</f>
        <v>0</v>
      </c>
      <c r="Q20" s="312" t="n">
        <v>0</v>
      </c>
      <c r="R20" s="313" t="n">
        <f aca="true">IF($G$1&lt;&gt;1,INDIRECT("period"&amp;$G$1-1&amp;"!Q20"),0)</f>
        <v>0</v>
      </c>
      <c r="S20" s="306"/>
    </row>
    <row r="21" customFormat="false" ht="14.65" hidden="false" customHeight="false" outlineLevel="0" collapsed="false">
      <c r="B21" s="314" t="s">
        <v>145</v>
      </c>
      <c r="C21" s="308" t="n">
        <f aca="false">VLOOKUP(B21,'Set up'!$B$62:$O$89,2+$G$1,FALSE())</f>
        <v>50</v>
      </c>
      <c r="D21" s="315" t="n">
        <v>50</v>
      </c>
      <c r="E21" s="316" t="str">
        <f aca="false">TRIM(CLEAN(INDEX('Set up'!$D$63:$O$87,MATCH(B21,'Set up'!$B$62:$B$89,0),+$G$1)))</f>
        <v>3</v>
      </c>
      <c r="F21" s="317" t="n">
        <f aca="false">G21+I21+K21+M21+O21+Q21</f>
        <v>3</v>
      </c>
      <c r="G21" s="304" t="n">
        <v>3</v>
      </c>
      <c r="H21" s="305" t="n">
        <f aca="true">IF($G$1&lt;&gt;1,INDIRECT("period"&amp;$G$1-1&amp;"!G21"),0)</f>
        <v>3</v>
      </c>
      <c r="I21" s="304" t="n">
        <v>0</v>
      </c>
      <c r="J21" s="305" t="n">
        <f aca="true">IF($G$1&lt;&gt;1,INDIRECT("period"&amp;$G$1-1&amp;"!I21"),0)</f>
        <v>0</v>
      </c>
      <c r="K21" s="304" t="n">
        <v>0</v>
      </c>
      <c r="L21" s="305" t="n">
        <f aca="true">IF($G$1&lt;&gt;1,INDIRECT("period"&amp;$G$1-1&amp;"!K21"),0)</f>
        <v>0</v>
      </c>
      <c r="M21" s="304" t="n">
        <v>0</v>
      </c>
      <c r="N21" s="305" t="n">
        <f aca="true">IF($G$1&lt;&gt;1,INDIRECT("period"&amp;$G$1-1&amp;"!M21"),0)</f>
        <v>0</v>
      </c>
      <c r="O21" s="304" t="n">
        <v>0</v>
      </c>
      <c r="P21" s="305" t="n">
        <f aca="true">IF($G$1&lt;&gt;1,INDIRECT("period"&amp;$G$1-1&amp;"!O21"),0)</f>
        <v>0</v>
      </c>
      <c r="Q21" s="304" t="n">
        <v>0</v>
      </c>
      <c r="R21" s="305" t="n">
        <f aca="true">IF($G$1&lt;&gt;1,INDIRECT("period"&amp;$G$1-1&amp;"!Q21"),0)</f>
        <v>0</v>
      </c>
      <c r="S21" s="319"/>
    </row>
    <row r="22" customFormat="false" ht="14.65" hidden="false" customHeight="false" outlineLevel="0" collapsed="false">
      <c r="B22" s="307" t="s">
        <v>147</v>
      </c>
      <c r="C22" s="308" t="n">
        <f aca="false">VLOOKUP(B22,'Set up'!$B$62:$O$89,2+$G$1,FALSE())</f>
        <v>0</v>
      </c>
      <c r="D22" s="318" t="n">
        <v>0</v>
      </c>
      <c r="E22" s="310" t="str">
        <f aca="false">TRIM(CLEAN(INDEX('Set up'!$D$63:$O$87,MATCH(B22,'Set up'!$B$62:$B$89,0),+$G$1)))</f>
        <v>0</v>
      </c>
      <c r="F22" s="311" t="n">
        <f aca="false">G22+I22+K22+M22+O22+Q22</f>
        <v>0</v>
      </c>
      <c r="G22" s="312" t="n">
        <v>0</v>
      </c>
      <c r="H22" s="313" t="n">
        <f aca="true">IF($G$1&lt;&gt;1,INDIRECT("period"&amp;$G$1-1&amp;"!G22"),0)</f>
        <v>0</v>
      </c>
      <c r="I22" s="312" t="n">
        <v>0</v>
      </c>
      <c r="J22" s="313" t="n">
        <f aca="true">IF($G$1&lt;&gt;1,INDIRECT("period"&amp;$G$1-1&amp;"!i22"),0)</f>
        <v>0</v>
      </c>
      <c r="K22" s="312" t="n">
        <v>0</v>
      </c>
      <c r="L22" s="313" t="n">
        <f aca="true">IF($G$1&lt;&gt;1,INDIRECT("period"&amp;$G$1-1&amp;"!G22"),0)</f>
        <v>0</v>
      </c>
      <c r="M22" s="312" t="n">
        <v>0</v>
      </c>
      <c r="N22" s="313" t="n">
        <f aca="true">IF($G$1&lt;&gt;1,INDIRECT("period"&amp;$G$1-1&amp;"!M22"),0)</f>
        <v>0</v>
      </c>
      <c r="O22" s="312" t="n">
        <v>0</v>
      </c>
      <c r="P22" s="313" t="n">
        <f aca="true">IF($G$1&lt;&gt;1,INDIRECT("period"&amp;$G$1-1&amp;"!O22"),0)</f>
        <v>0</v>
      </c>
      <c r="Q22" s="312" t="n">
        <v>0</v>
      </c>
      <c r="R22" s="313" t="n">
        <f aca="true">IF($G$1&lt;&gt;1,INDIRECT("period"&amp;$G$1-1&amp;"!Q22"),0)</f>
        <v>0</v>
      </c>
      <c r="S22" s="306"/>
    </row>
    <row r="23" customFormat="false" ht="14.65" hidden="false" customHeight="false" outlineLevel="0" collapsed="false">
      <c r="B23" s="320" t="s">
        <v>146</v>
      </c>
      <c r="C23" s="321" t="n">
        <f aca="false">VLOOKUP(B23,'Set up'!$B$62:$O$89,2+$G$1,FALSE())</f>
        <v>0</v>
      </c>
      <c r="D23" s="322" t="n">
        <v>0</v>
      </c>
      <c r="E23" s="323" t="str">
        <f aca="false">TRIM(CLEAN(INDEX('Set up'!$D$63:$O$87,MATCH(B23,'Set up'!$B$62:$B$89,0),+$G$1)))</f>
        <v>0</v>
      </c>
      <c r="F23" s="324" t="n">
        <f aca="false">G23+I23+K23+M23+O23+Q23</f>
        <v>0</v>
      </c>
      <c r="G23" s="325" t="n">
        <v>0</v>
      </c>
      <c r="H23" s="326" t="n">
        <f aca="true">IF($G$1&lt;&gt;1,INDIRECT("period"&amp;$G$1-1&amp;"!G23"),0)</f>
        <v>0</v>
      </c>
      <c r="I23" s="325" t="n">
        <v>0</v>
      </c>
      <c r="J23" s="326" t="n">
        <f aca="true">IF($G$1&lt;&gt;1,INDIRECT("period"&amp;$G$1-1&amp;"!I23"),0)</f>
        <v>0</v>
      </c>
      <c r="K23" s="325" t="n">
        <v>0</v>
      </c>
      <c r="L23" s="326" t="n">
        <f aca="true">IF($G$1&lt;&gt;1,INDIRECT("period"&amp;$G$1-1&amp;"!K23"),0)</f>
        <v>0</v>
      </c>
      <c r="M23" s="325" t="n">
        <v>0</v>
      </c>
      <c r="N23" s="326" t="n">
        <f aca="true">IF($G$1&lt;&gt;1,INDIRECT("period"&amp;$G$1-1&amp;"!M23"),0)</f>
        <v>0</v>
      </c>
      <c r="O23" s="325" t="n">
        <v>0</v>
      </c>
      <c r="P23" s="326" t="n">
        <f aca="true">IF($G$1&lt;&gt;1,INDIRECT("period"&amp;$G$1-1&amp;"!G23"),0)</f>
        <v>0</v>
      </c>
      <c r="Q23" s="325" t="n">
        <v>0</v>
      </c>
      <c r="R23" s="326" t="n">
        <f aca="true">IF($G$1&lt;&gt;1,INDIRECT("period"&amp;$G$1-1&amp;"!Q23"),0)</f>
        <v>0</v>
      </c>
      <c r="S23" s="306"/>
    </row>
    <row r="24" customFormat="false" ht="14.65" hidden="false" customHeight="false" outlineLevel="0" collapsed="false">
      <c r="B24" s="327" t="s">
        <v>184</v>
      </c>
      <c r="C24" s="328" t="n">
        <f aca="false">SUM(C17:C23)</f>
        <v>350</v>
      </c>
      <c r="D24" s="329" t="n">
        <f aca="false">SUM(D17:D23)</f>
        <v>350</v>
      </c>
      <c r="E24" s="330"/>
      <c r="F24" s="330"/>
      <c r="S24" s="331"/>
    </row>
    <row r="25" customFormat="false" ht="14.65" hidden="false" customHeight="false" outlineLevel="0" collapsed="false">
      <c r="B25" s="332"/>
      <c r="C25" s="333"/>
      <c r="D25" s="334"/>
      <c r="E25" s="330"/>
      <c r="F25" s="330"/>
      <c r="H25" s="335"/>
      <c r="I25" s="336"/>
      <c r="J25" s="337" t="s">
        <v>185</v>
      </c>
      <c r="K25" s="336"/>
      <c r="L25" s="336"/>
      <c r="M25" s="338"/>
      <c r="S25" s="331"/>
    </row>
    <row r="26" s="42" customFormat="true" ht="14.65" hidden="false" customHeight="false" outlineLevel="0" collapsed="false">
      <c r="H26" s="339"/>
      <c r="I26" s="340"/>
      <c r="J26" s="341" t="s">
        <v>186</v>
      </c>
      <c r="K26" s="342" t="n">
        <f aca="false">G46</f>
        <v>2304.13894478845</v>
      </c>
      <c r="L26" s="343" t="s">
        <v>174</v>
      </c>
      <c r="M26" s="344"/>
    </row>
    <row r="27" s="42" customFormat="true" ht="14.65" hidden="false" customHeight="false" outlineLevel="0" collapsed="false">
      <c r="H27" s="136"/>
      <c r="I27" s="346"/>
      <c r="J27" s="347" t="s">
        <v>187</v>
      </c>
      <c r="K27" s="348" t="str">
        <f aca="false">"("&amp;G47</f>
        <v>(1800</v>
      </c>
      <c r="L27" s="349" t="s">
        <v>188</v>
      </c>
      <c r="M27" s="350"/>
    </row>
    <row r="28" s="42" customFormat="true" ht="27.25" hidden="false" customHeight="false" outlineLevel="0" collapsed="false">
      <c r="B28" s="208" t="s">
        <v>189</v>
      </c>
      <c r="G28" s="351"/>
      <c r="H28" s="351"/>
      <c r="I28" s="352"/>
      <c r="J28" s="352"/>
      <c r="K28" s="353" t="s">
        <v>190</v>
      </c>
      <c r="L28" s="353"/>
      <c r="M28" s="352"/>
      <c r="N28" s="352"/>
      <c r="O28" s="352"/>
      <c r="P28" s="352"/>
      <c r="Q28" s="354"/>
      <c r="R28" s="354"/>
    </row>
    <row r="29" s="42" customFormat="true" ht="14.65" hidden="false" customHeight="false" outlineLevel="0" collapsed="false">
      <c r="B29" s="42" t="s">
        <v>191</v>
      </c>
      <c r="G29" s="355"/>
      <c r="H29" s="355"/>
      <c r="I29" s="356"/>
      <c r="J29" s="356"/>
      <c r="K29" s="357"/>
      <c r="L29" s="357"/>
      <c r="M29" s="356"/>
      <c r="N29" s="356"/>
      <c r="O29" s="356"/>
      <c r="P29" s="356"/>
      <c r="Q29" s="358"/>
      <c r="R29" s="358"/>
      <c r="T29" s="359"/>
    </row>
    <row r="30" s="42" customFormat="true" ht="23.85" hidden="false" customHeight="false" outlineLevel="0" collapsed="false">
      <c r="G30" s="360" t="s">
        <v>123</v>
      </c>
      <c r="H30" s="361"/>
      <c r="I30" s="362" t="str">
        <f aca="false">I16</f>
        <v>Meadow Hay</v>
      </c>
      <c r="J30" s="363"/>
      <c r="K30" s="364" t="str">
        <f aca="false">K16</f>
        <v>Pasture Silage</v>
      </c>
      <c r="L30" s="365"/>
      <c r="M30" s="362" t="str">
        <f aca="false">M16</f>
        <v>Maize Silage</v>
      </c>
      <c r="N30" s="363"/>
      <c r="O30" s="366" t="str">
        <f aca="false">O16</f>
        <v>Crop</v>
      </c>
      <c r="P30" s="365"/>
      <c r="Q30" s="362" t="str">
        <f aca="false">Q16</f>
        <v>Meal</v>
      </c>
      <c r="R30" s="363"/>
    </row>
    <row r="31" s="42" customFormat="true" ht="14.65" hidden="false" customHeight="false" outlineLevel="0" collapsed="false">
      <c r="E31" s="367" t="str">
        <f aca="false">B17</f>
        <v>Milking Cows Herd A</v>
      </c>
      <c r="F31" s="368"/>
      <c r="G31" s="369" t="n">
        <f aca="false">G17*(1/INDEX('Set up'!$D$45:$O$45,1,$G$1))</f>
        <v>16.4705882352941</v>
      </c>
      <c r="H31" s="370"/>
      <c r="I31" s="371" t="n">
        <f aca="false">I17*100/((VLOOKUP(I$16,'Set up'!$A$50:$B$54,2,0)))</f>
        <v>1.17647058823529</v>
      </c>
      <c r="J31" s="371"/>
      <c r="K31" s="369" t="n">
        <f aca="false">K17*100/((VLOOKUP(K$16,'Set up'!$A$50:$B$54,2,0)))</f>
        <v>2.66666666666667</v>
      </c>
      <c r="L31" s="370"/>
      <c r="M31" s="369" t="n">
        <f aca="false">M17*100/((VLOOKUP(M$16,'Set up'!$A$50:$B$54,2,0)))</f>
        <v>0</v>
      </c>
      <c r="N31" s="370"/>
      <c r="O31" s="369" t="n">
        <f aca="false">O17*100/((VLOOKUP(O$16,'Set up'!$A$50:$B$54,2,0)))</f>
        <v>0</v>
      </c>
      <c r="P31" s="370"/>
      <c r="Q31" s="369" t="n">
        <f aca="false">Q17*100/((VLOOKUP(Q$16,'Set up'!$A$50:$B$54,2,0)))</f>
        <v>1.05263157894737</v>
      </c>
      <c r="R31" s="370"/>
    </row>
    <row r="32" s="42" customFormat="true" ht="14.65" hidden="false" customHeight="false" outlineLevel="0" collapsed="false">
      <c r="E32" s="372" t="str">
        <f aca="false">B18</f>
        <v>Dry Fats</v>
      </c>
      <c r="F32" s="373"/>
      <c r="G32" s="374" t="n">
        <f aca="false">G18*(1/INDEX('Set up'!$D$45:$O$45,1,$G$1))</f>
        <v>0</v>
      </c>
      <c r="H32" s="375"/>
      <c r="I32" s="376" t="n">
        <f aca="false">I18*100/((VLOOKUP(I$16,'Set up'!$A$50:$B$54,2,0)))</f>
        <v>0</v>
      </c>
      <c r="J32" s="376"/>
      <c r="K32" s="377" t="n">
        <f aca="false">K18*100/((VLOOKUP(K$16,'Set up'!$A$50:$B$54,2,0)))</f>
        <v>0</v>
      </c>
      <c r="L32" s="378"/>
      <c r="M32" s="377" t="n">
        <f aca="false">M18*100/((VLOOKUP(M$16,'Set up'!$A$50:$B$54,2,0)))</f>
        <v>0</v>
      </c>
      <c r="N32" s="378"/>
      <c r="O32" s="377" t="n">
        <f aca="false">O18*100/((VLOOKUP(O$16,'Set up'!$A$50:$B$54,2,0)))</f>
        <v>0</v>
      </c>
      <c r="P32" s="378"/>
      <c r="Q32" s="377" t="n">
        <f aca="false">Q18*100/((VLOOKUP(Q$16,'Set up'!$A$50:$B$54,2,0)))</f>
        <v>0</v>
      </c>
      <c r="R32" s="378"/>
    </row>
    <row r="33" s="42" customFormat="true" ht="14.65" hidden="false" customHeight="false" outlineLevel="0" collapsed="false">
      <c r="E33" s="379" t="str">
        <f aca="false">B19</f>
        <v>Dry thins</v>
      </c>
      <c r="F33" s="380"/>
      <c r="G33" s="369" t="n">
        <f aca="false">G19*(1/INDEX('Set up'!$D$45:$O$45,1,$G$1))</f>
        <v>0</v>
      </c>
      <c r="H33" s="370"/>
      <c r="I33" s="371" t="n">
        <f aca="false">I19*100/((VLOOKUP(I$16,'Set up'!$A$50:$B$54,2,0)))</f>
        <v>0</v>
      </c>
      <c r="J33" s="371"/>
      <c r="K33" s="369" t="n">
        <f aca="false">K19*100/((VLOOKUP(K$16,'Set up'!$A$50:$B$54,2,0)))</f>
        <v>2.66666666666667</v>
      </c>
      <c r="L33" s="370"/>
      <c r="M33" s="369" t="n">
        <f aca="false">M19*100/((VLOOKUP(M$16,'Set up'!$A$50:$B$54,2,0)))</f>
        <v>0</v>
      </c>
      <c r="N33" s="370"/>
      <c r="O33" s="369" t="n">
        <f aca="false">O19*100/((VLOOKUP(O$16,'Set up'!$A$50:$B$54,2,0)))</f>
        <v>0</v>
      </c>
      <c r="P33" s="370"/>
      <c r="Q33" s="369" t="n">
        <f aca="false">Q19*100/((VLOOKUP(Q$16,'Set up'!$A$50:$B$54,2,0)))</f>
        <v>0</v>
      </c>
      <c r="R33" s="370"/>
    </row>
    <row r="34" s="42" customFormat="true" ht="14.65" hidden="false" customHeight="false" outlineLevel="0" collapsed="false">
      <c r="E34" s="372" t="str">
        <f aca="false">B20</f>
        <v>R 2yr heifers</v>
      </c>
      <c r="F34" s="373"/>
      <c r="G34" s="374" t="n">
        <f aca="false">G20*(1/INDEX('Set up'!$D$45:$O$45,1,$G$1))</f>
        <v>7.05882352941176</v>
      </c>
      <c r="H34" s="375"/>
      <c r="I34" s="381" t="n">
        <f aca="false">I20*100/((VLOOKUP(I$16,'Set up'!$A$50:$B$54,2,0)))</f>
        <v>0</v>
      </c>
      <c r="J34" s="381"/>
      <c r="K34" s="382" t="n">
        <f aca="false">K20*100/((VLOOKUP(K$16,'Set up'!$A$50:$B$54,2,0)))</f>
        <v>0</v>
      </c>
      <c r="L34" s="383"/>
      <c r="M34" s="382" t="n">
        <f aca="false">M20*100/((VLOOKUP(M$16,'Set up'!$A$50:$B$54,2,0)))</f>
        <v>0</v>
      </c>
      <c r="N34" s="383"/>
      <c r="O34" s="382" t="n">
        <f aca="false">O20*100/((VLOOKUP(O$16,'Set up'!$A$50:$B$54,2,0)))</f>
        <v>0</v>
      </c>
      <c r="P34" s="383"/>
      <c r="Q34" s="382" t="n">
        <f aca="false">Q20*100/((VLOOKUP(Q$16,'Set up'!$A$50:$B$54,2,0)))</f>
        <v>0</v>
      </c>
      <c r="R34" s="383"/>
    </row>
    <row r="35" s="42" customFormat="true" ht="14.65" hidden="false" customHeight="false" outlineLevel="0" collapsed="false">
      <c r="E35" s="367" t="str">
        <f aca="false">B21</f>
        <v>Heifer Calves</v>
      </c>
      <c r="F35" s="368"/>
      <c r="G35" s="369" t="n">
        <f aca="false">G21*(1/INDEX('Set up'!$D$45:$O$45,1,$G$1))</f>
        <v>3.52941176470588</v>
      </c>
      <c r="H35" s="370"/>
      <c r="I35" s="371" t="n">
        <f aca="false">I21*100/((VLOOKUP(I$16,'Set up'!$A$50:$B$54,2,0)))</f>
        <v>0</v>
      </c>
      <c r="J35" s="371"/>
      <c r="K35" s="369" t="n">
        <f aca="false">K21*100/((VLOOKUP(K$16,'Set up'!$A$50:$B$54,2,0)))</f>
        <v>0</v>
      </c>
      <c r="L35" s="370"/>
      <c r="M35" s="369" t="n">
        <f aca="false">M21*100/((VLOOKUP(M$16,'Set up'!$A$50:$B$54,2,0)))</f>
        <v>0</v>
      </c>
      <c r="N35" s="370"/>
      <c r="O35" s="369" t="n">
        <f aca="false">O21*100/((VLOOKUP(O$16,'Set up'!$A$50:$B$54,2,0)))</f>
        <v>0</v>
      </c>
      <c r="P35" s="370"/>
      <c r="Q35" s="369" t="n">
        <f aca="false">Q21*100/((VLOOKUP(Q$16,'Set up'!$A$50:$B$54,2,0)))</f>
        <v>0</v>
      </c>
      <c r="R35" s="370"/>
    </row>
    <row r="36" s="42" customFormat="true" ht="14.65" hidden="false" customHeight="false" outlineLevel="0" collapsed="false">
      <c r="E36" s="372" t="str">
        <f aca="false">B22</f>
        <v>Bulls</v>
      </c>
      <c r="F36" s="373"/>
      <c r="G36" s="374" t="n">
        <f aca="false">G22*(1/INDEX('Set up'!$D$45:$O$45,1,$G$1))</f>
        <v>0</v>
      </c>
      <c r="H36" s="375"/>
      <c r="I36" s="381" t="n">
        <f aca="false">I22*100/((VLOOKUP(I$16,'Set up'!$A$50:$B$54,2,0)))</f>
        <v>0</v>
      </c>
      <c r="J36" s="381"/>
      <c r="K36" s="382" t="n">
        <f aca="false">K22*100/((VLOOKUP(K$16,'Set up'!$A$50:$B$54,2,0)))</f>
        <v>0</v>
      </c>
      <c r="L36" s="383"/>
      <c r="M36" s="382" t="n">
        <f aca="false">M22*100/((VLOOKUP(M$16,'Set up'!$A$50:$B$54,2,0)))</f>
        <v>0</v>
      </c>
      <c r="N36" s="383"/>
      <c r="O36" s="382" t="n">
        <f aca="false">O22*100/((VLOOKUP(O$16,'Set up'!$A$50:$B$54,2,0)))</f>
        <v>0</v>
      </c>
      <c r="P36" s="383"/>
      <c r="Q36" s="382" t="n">
        <f aca="false">Q22*100/((VLOOKUP(Q$16,'Set up'!$A$50:$B$54,2,0)))</f>
        <v>0</v>
      </c>
      <c r="R36" s="383"/>
    </row>
    <row r="37" s="42" customFormat="true" ht="14.65" hidden="false" customHeight="false" outlineLevel="0" collapsed="false">
      <c r="E37" s="379" t="str">
        <f aca="false">B23</f>
        <v>Bull Calves</v>
      </c>
      <c r="F37" s="380"/>
      <c r="G37" s="369" t="n">
        <f aca="false">G23*(1/INDEX('Set up'!$D$45:$O$45,1,$G$1))</f>
        <v>0</v>
      </c>
      <c r="H37" s="370"/>
      <c r="I37" s="371" t="n">
        <f aca="false">I23*100/((VLOOKUP(I$16,'Set up'!$A$50:$B$54,2,0)))</f>
        <v>0</v>
      </c>
      <c r="J37" s="371"/>
      <c r="K37" s="369" t="n">
        <f aca="false">K23*100/((VLOOKUP(K$16,'Set up'!$A$50:$B$54,2,0)))</f>
        <v>0</v>
      </c>
      <c r="L37" s="370"/>
      <c r="M37" s="369" t="n">
        <f aca="false">M23*100/((VLOOKUP(M$16,'Set up'!$A$50:$B$54,2,0)))</f>
        <v>0</v>
      </c>
      <c r="N37" s="370"/>
      <c r="O37" s="369" t="n">
        <f aca="false">O23*100/((VLOOKUP(O$16,'Set up'!$A$50:$B$54,2,0)))</f>
        <v>0</v>
      </c>
      <c r="P37" s="370"/>
      <c r="Q37" s="369" t="n">
        <f aca="false">Q23*100/((VLOOKUP(Q$16,'Set up'!$A$50:$B$54,2,0)))</f>
        <v>0</v>
      </c>
      <c r="R37" s="370"/>
    </row>
    <row r="38" s="105" customFormat="true" ht="14.95" hidden="false" customHeight="false" outlineLevel="0" collapsed="false">
      <c r="B38" s="384"/>
      <c r="C38" s="385"/>
      <c r="D38" s="386"/>
      <c r="E38" s="386"/>
      <c r="F38" s="387" t="s">
        <v>192</v>
      </c>
      <c r="G38" s="388" t="n">
        <f aca="false">(($G17*$D17)+($G18*$D18)+($G19*$D19)+($G20*$D20)+($G21*$D21)+($G22*$D22)+($G23*$D23))*(1/INDEX('Set up'!$D45:$O45,1,$G$1))</f>
        <v>4647.05882352941</v>
      </c>
      <c r="H38" s="388"/>
      <c r="I38" s="389" t="n">
        <f aca="false">((I17*$D17)+(I18*$D18)+(I19*$D19)+(I20*$D20)+(I21*$D21)+(I22*$D22)+(I23*$D23))*(100/VLOOKUP($F6,'Set up'!$A$50:$C$54,2,0))</f>
        <v>294.117647058824</v>
      </c>
      <c r="J38" s="390"/>
      <c r="K38" s="389" t="n">
        <f aca="false">((K17*$D17)+(K18*$D18)+(K19*$D19)+(K20*$D20)+(K21*$D21)+(K22*$D22)+(K23*$D23))*(100/VLOOKUP($F7,'Set up'!$A$50:$C$54,2,0))</f>
        <v>666.666666666667</v>
      </c>
      <c r="L38" s="390"/>
      <c r="M38" s="389" t="n">
        <f aca="false">((M17*$D17)+(M18*$D18)+(M19*$D19)+(M20*$D20)+(M21*$D21)+(M22*$D22)+(M23*$D23))*(100/VLOOKUP($F8,'Set up'!$A$50:$C$54,2,0))</f>
        <v>0</v>
      </c>
      <c r="N38" s="390"/>
      <c r="O38" s="389" t="n">
        <f aca="false">((O17*$D17)+(O18*$D18)+(O19*$D19)+(O20*$D20)+(O21*$D21)+(O22*$D22)+(O23*$D23))*(100/VLOOKUP($F9,'Set up'!$A$50:$C$54,2,0))</f>
        <v>0</v>
      </c>
      <c r="P38" s="390"/>
      <c r="Q38" s="389" t="n">
        <f aca="false">((Q17*$D17)+(Q18*$D18)+(Q19*$D19)+(Q20*$D20)+(Q21*$D21)+(Q22*$D22)+(Q23*$D23))*(100/VLOOKUP($F10,'Set up'!$A$50:$C$54,2,0))</f>
        <v>263.157894736842</v>
      </c>
      <c r="R38" s="390"/>
      <c r="S38" s="331"/>
    </row>
    <row r="39" s="42" customFormat="true" ht="14.95" hidden="false" customHeight="false" outlineLevel="0" collapsed="false">
      <c r="B39" s="391"/>
      <c r="C39" s="392"/>
      <c r="D39" s="392"/>
      <c r="E39" s="392"/>
      <c r="F39" s="393" t="s">
        <v>193</v>
      </c>
      <c r="G39" s="394" t="n">
        <f aca="false">G38*$C$5</f>
        <v>139411.764705882</v>
      </c>
      <c r="H39" s="394"/>
      <c r="I39" s="395" t="n">
        <f aca="false">I38*$C$5</f>
        <v>8823.52941176471</v>
      </c>
      <c r="J39" s="396"/>
      <c r="K39" s="395" t="n">
        <f aca="false">K38*$C$5</f>
        <v>20000</v>
      </c>
      <c r="L39" s="396"/>
      <c r="M39" s="395" t="n">
        <f aca="false">M38*$C$5</f>
        <v>0</v>
      </c>
      <c r="N39" s="396"/>
      <c r="O39" s="395" t="n">
        <f aca="false">O38*$C$5</f>
        <v>0</v>
      </c>
      <c r="P39" s="396"/>
      <c r="Q39" s="395" t="n">
        <f aca="false">Q38*$C$5</f>
        <v>7894.73684210526</v>
      </c>
      <c r="R39" s="396"/>
    </row>
    <row r="40" s="42" customFormat="true" ht="14.95" hidden="false" customHeight="false" outlineLevel="0" collapsed="false">
      <c r="B40" s="42" t="s">
        <v>194</v>
      </c>
    </row>
    <row r="41" s="42" customFormat="true" ht="14.75" hidden="false" customHeight="true" outlineLevel="0" collapsed="false"/>
    <row r="42" customFormat="false" ht="14.75" hidden="false" customHeight="true" outlineLevel="0" collapsed="false">
      <c r="Q42" s="52"/>
      <c r="R42" s="52"/>
      <c r="S42" s="44"/>
    </row>
    <row r="43" s="42" customFormat="true" ht="32" hidden="false" customHeight="true" outlineLevel="0" collapsed="false">
      <c r="B43" s="208" t="s">
        <v>195</v>
      </c>
    </row>
    <row r="44" s="42" customFormat="true" ht="32" hidden="false" customHeight="true" outlineLevel="0" collapsed="false">
      <c r="B44" s="208"/>
    </row>
    <row r="45" s="42" customFormat="true" ht="14.65" hidden="false" customHeight="false" outlineLevel="0" collapsed="false">
      <c r="B45" s="44"/>
      <c r="C45" s="237"/>
      <c r="D45" s="397"/>
      <c r="E45" s="397"/>
      <c r="F45" s="398" t="s">
        <v>196</v>
      </c>
      <c r="G45" s="399" t="n">
        <f aca="true">IF(G1=1,'Set up'!$D$35,INDIRECT("period"&amp;$G$1-1&amp;"!G46"))</f>
        <v>2053.15855263158</v>
      </c>
      <c r="H45" s="400" t="s">
        <v>197</v>
      </c>
      <c r="I45" s="401"/>
      <c r="J45" s="402"/>
      <c r="K45" s="213" t="str">
        <f aca="false">IF(G1=1,"*NB: For Period1, enter the opening  Av Farm Cover in cell D37 in 'Set up'","NB: Opening av farm cover is the previous period's forecasted closing av farm cover")</f>
        <v>NB: Opening av farm cover is the previous period's forecasted closing av farm cover</v>
      </c>
      <c r="P45" s="44"/>
      <c r="V45" s="345"/>
      <c r="W45" s="2"/>
    </row>
    <row r="46" s="42" customFormat="true" ht="14.65" hidden="false" customHeight="false" outlineLevel="0" collapsed="false">
      <c r="B46" s="44"/>
      <c r="C46" s="403"/>
      <c r="D46" s="404"/>
      <c r="E46" s="404"/>
      <c r="F46" s="405" t="s">
        <v>198</v>
      </c>
      <c r="G46" s="406" t="n">
        <f aca="false">($G$45+ ($C$5*$C$12) -(G39/C11))</f>
        <v>2304.13894478845</v>
      </c>
      <c r="H46" s="407" t="s">
        <v>197</v>
      </c>
      <c r="I46" s="408"/>
      <c r="J46" s="409"/>
      <c r="K46" s="410"/>
      <c r="P46" s="44"/>
    </row>
    <row r="47" s="42" customFormat="true" ht="14.65" hidden="false" customHeight="false" outlineLevel="0" collapsed="false">
      <c r="B47" s="44"/>
      <c r="C47" s="411"/>
      <c r="D47" s="412"/>
      <c r="E47" s="412"/>
      <c r="F47" s="413" t="s">
        <v>199</v>
      </c>
      <c r="G47" s="429" t="n">
        <f aca="false">INDEX('Set up'!$D37:$O37,1,G1)</f>
        <v>1800</v>
      </c>
      <c r="H47" s="415" t="s">
        <v>197</v>
      </c>
      <c r="I47" s="416"/>
      <c r="J47" s="417"/>
      <c r="K47" s="410"/>
      <c r="P47" s="331"/>
      <c r="V47" s="345"/>
    </row>
    <row r="48" s="42" customFormat="true" ht="14.65" hidden="false" customHeight="false" outlineLevel="0" collapsed="false">
      <c r="B48" s="44"/>
      <c r="C48" s="247"/>
      <c r="D48" s="418"/>
      <c r="E48" s="418"/>
      <c r="F48" s="419" t="s">
        <v>200</v>
      </c>
      <c r="G48" s="420" t="n">
        <f aca="false">G46-G47</f>
        <v>504.138944788449</v>
      </c>
      <c r="H48" s="407" t="s">
        <v>197</v>
      </c>
      <c r="I48" s="408"/>
      <c r="J48" s="421"/>
      <c r="K48" s="422" t="s">
        <v>201</v>
      </c>
      <c r="P48" s="331"/>
    </row>
    <row r="49" s="42" customFormat="true" ht="14.65" hidden="false" customHeight="false" outlineLevel="0" collapsed="false">
      <c r="B49" s="44"/>
      <c r="C49" s="269"/>
      <c r="D49" s="423"/>
      <c r="E49" s="423"/>
      <c r="F49" s="424" t="s">
        <v>202</v>
      </c>
      <c r="G49" s="425" t="n">
        <f aca="false">G48*C11</f>
        <v>45372.5050309604</v>
      </c>
      <c r="H49" s="426" t="str">
        <f aca="false">"kg DM total over  nett "&amp;C11&amp;" ha"</f>
        <v>kg DM total over  nett 90 ha</v>
      </c>
      <c r="I49" s="427"/>
      <c r="J49" s="428"/>
      <c r="K49" s="410"/>
      <c r="P49" s="331"/>
      <c r="Q49" s="42" t="str">
        <f aca="false">CONCATENATE(Q43,S43)</f>
        <v/>
      </c>
    </row>
  </sheetData>
  <sheetProtection sheet="true" objects="true" scenarios="true" selectLockedCells="true"/>
  <mergeCells count="1">
    <mergeCell ref="Y15:AD15"/>
  </mergeCells>
  <dataValidations count="4">
    <dataValidation allowBlank="false" operator="equal" showDropDown="false" showErrorMessage="false" showInputMessage="false" sqref="F6 F8:F10" type="list">
      <formula1>'Set up'!$A$50:$A$54</formula1>
      <formula2>0</formula2>
    </dataValidation>
    <dataValidation allowBlank="false" operator="equal" showDropDown="false" showErrorMessage="false" showInputMessage="false" sqref="F7" type="list">
      <formula1>'Set up'!$A$50:$A$54</formula1>
      <formula2>0</formula2>
    </dataValidation>
    <dataValidation allowBlank="true" operator="equal" showDropDown="false" showErrorMessage="false" showInputMessage="false" sqref="B17" type="list">
      <formula1>'Set up'!$B$62:$B$90</formula1>
      <formula2>0</formula2>
    </dataValidation>
    <dataValidation allowBlank="true" operator="equal" showDropDown="false" showErrorMessage="false" showInputMessage="false" sqref="B18:B23" type="list">
      <formula1>'Set up'!$B$62:$B$89</formula1>
      <formula2>0</formula2>
    </dataValidation>
  </dataValidation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&amp;C&amp;"Arial,Regular"&amp;A</oddHeader>
    <oddFooter>&amp;C&amp;"Arial,Regular"Page &amp;P</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2787</TotalTime>
  <Application>LibreOffice/5.3.6.1$Windows_x86 LibreOffice_project/686f202eff87ef707079aeb7f485847613344eb7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2015-06-13T14:55:49Z</dcterms:created>
  <dc:creator/>
  <dc:description/>
  <dc:language>en-AU</dc:language>
  <cp:lastModifiedBy/>
  <dcterms:modified xsi:type="dcterms:W3CDTF">2018-06-28T16:45:47Z</dcterms:modified>
  <cp:revision>197</cp:revision>
  <dc:subject/>
  <dc:title/>
</cp:coreProperties>
</file>